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GRC\2019 GRC\Rebuttal Testimony\Chapter 5\Workpapers\"/>
    </mc:Choice>
  </mc:AlternateContent>
  <xr:revisionPtr revIDLastSave="0" documentId="13_ncr:1_{202F25E2-2D71-4390-8A36-A07C91CF7E4E}" xr6:coauthVersionLast="41" xr6:coauthVersionMax="41" xr10:uidLastSave="{00000000-0000-0000-0000-000000000000}"/>
  <bookViews>
    <workbookView xWindow="-110" yWindow="-110" windowWidth="25820" windowHeight="14020" tabRatio="805" activeTab="1" xr2:uid="{00000000-000D-0000-FFFF-FFFF00000000}"/>
  </bookViews>
  <sheets>
    <sheet name="Tab Descriptions" sheetId="226" r:id="rId1"/>
    <sheet name="Marg Cust Cost Summary" sheetId="120" r:id="rId2"/>
    <sheet name="Marg Cust Cost by Rate Schedule" sheetId="143" r:id="rId3"/>
    <sheet name="Inputs" sheetId="80" r:id="rId4"/>
    <sheet name="School Class TSM Summary " sheetId="242" r:id="rId5"/>
    <sheet name="School Class Cust Cost Summary" sheetId="243" r:id="rId6"/>
    <sheet name="Resid Cust Fcst " sheetId="64" r:id="rId7"/>
    <sheet name="Resid TSM UC" sheetId="235" r:id="rId8"/>
    <sheet name="Resid TSM UC Adj" sheetId="164" r:id="rId9"/>
    <sheet name="Resid TSM Summary" sheetId="33" r:id="rId10"/>
    <sheet name="Resid TSM Sum by Rate Schedule" sheetId="42" r:id="rId11"/>
    <sheet name="Resid Cust Cost Summary" sheetId="196" r:id="rId12"/>
    <sheet name="Sch DR TSM" sheetId="165" r:id="rId13"/>
    <sheet name="Sm Comm Cust Fcst" sheetId="8" r:id="rId14"/>
    <sheet name="Sm Comm TSM Summary" sheetId="224" r:id="rId15"/>
    <sheet name="Sm Comm Cust Cost Summary" sheetId="225" r:id="rId16"/>
    <sheet name="Sch TOU-A TSM" sheetId="232" r:id="rId17"/>
    <sheet name="Sch TOU-A TSM Summary" sheetId="233" r:id="rId18"/>
    <sheet name="Sch TOU-A Cust Cost Summary" sheetId="234" r:id="rId19"/>
    <sheet name="Sch TOU-M TSM" sheetId="162" r:id="rId20"/>
    <sheet name="Sch TOU-M TSM Summary" sheetId="175" r:id="rId21"/>
    <sheet name="Sch TOU-M Cust Cost Summary" sheetId="199" r:id="rId22"/>
    <sheet name="M-L C&amp;I TSM Summary" sheetId="221" r:id="rId23"/>
    <sheet name="M-L C&amp;I Cust Cost Summary " sheetId="222" r:id="rId24"/>
    <sheet name="Sch OL-TOU Cust Fcst" sheetId="151" r:id="rId25"/>
    <sheet name="Sch OL-TOU TSM" sheetId="160" r:id="rId26"/>
    <sheet name="Sch OL-TOU TSM Summary" sheetId="190" r:id="rId27"/>
    <sheet name="Sch OL-TOU Cust Cost Summary" sheetId="189" r:id="rId28"/>
    <sheet name="Sch AL-TOU Cust Fcst" sheetId="157" r:id="rId29"/>
    <sheet name="Sch AL-TOU TSM" sheetId="159" r:id="rId30"/>
    <sheet name="Sch AL-TOU TSM Summary" sheetId="191" r:id="rId31"/>
    <sheet name="Sch AL-TOU Cust Cost Summary" sheetId="192" r:id="rId32"/>
    <sheet name="Sch DG-R Cust Fcst" sheetId="96" r:id="rId33"/>
    <sheet name="Sch DG-R TSM" sheetId="156" r:id="rId34"/>
    <sheet name="Sch DG-R TSM Summary" sheetId="187" r:id="rId35"/>
    <sheet name="Sch DG-R Cust Cost Summary" sheetId="194" r:id="rId36"/>
    <sheet name="Sch A6-TOU Cust Fcst " sheetId="19" r:id="rId37"/>
    <sheet name="Sch A6-TOU TSM" sheetId="41" r:id="rId38"/>
    <sheet name="Sch A6-TOU TSM Summary" sheetId="193" r:id="rId39"/>
    <sheet name="Sch A6-TOU Cust Cost Summary" sheetId="184" r:id="rId40"/>
    <sheet name="Agric TSM Summary" sheetId="223" r:id="rId41"/>
    <sheet name="Agric Cust Cost Summary" sheetId="220" r:id="rId42"/>
    <sheet name="Sch TOU-PA Cust Fcst" sheetId="227" r:id="rId43"/>
    <sheet name="Sch TOU-PA TSM" sheetId="228" r:id="rId44"/>
    <sheet name="Sch TOU-PA TSM Summary" sheetId="229" r:id="rId45"/>
    <sheet name="Sch TOU-PA Cust Cost Summary" sheetId="230" r:id="rId46"/>
    <sheet name="Street Light Cust Cost Summary" sheetId="217" r:id="rId47"/>
    <sheet name="Non-Residential TSM UC" sheetId="236" r:id="rId48"/>
    <sheet name="Non-Residential TSM UC Adj" sheetId="79" r:id="rId49"/>
    <sheet name="Total Customers" sheetId="50" r:id="rId50"/>
    <sheet name="TSM Cap Cost Allocations" sheetId="244" r:id="rId51"/>
    <sheet name="Distribution O&amp;M Allocations" sheetId="245" r:id="rId52"/>
  </sheets>
  <definedNames>
    <definedName name="_xlnm.Print_Area" localSheetId="41">'Agric Cust Cost Summary'!$A$1:$J$35</definedName>
    <definedName name="_xlnm.Print_Area" localSheetId="40">'Agric TSM Summary'!$A$1:$J$33</definedName>
    <definedName name="_xlnm.Print_Area" localSheetId="51">'Distribution O&amp;M Allocations'!$A$1:$AH$39</definedName>
    <definedName name="_xlnm.Print_Area" localSheetId="2">'Marg Cust Cost by Rate Schedule'!$A$1:$M$78</definedName>
    <definedName name="_xlnm.Print_Area" localSheetId="1">'Marg Cust Cost Summary'!$A$1:$D$59</definedName>
    <definedName name="_xlnm.Print_Area" localSheetId="23">'M-L C&amp;I Cust Cost Summary '!$A$1:$Q$35</definedName>
    <definedName name="_xlnm.Print_Area" localSheetId="22">'M-L C&amp;I TSM Summary'!$A$1:$Q$33</definedName>
    <definedName name="_xlnm.Print_Area" localSheetId="47">'Non-Residential TSM UC'!$A$1:$Y$42</definedName>
    <definedName name="_xlnm.Print_Area" localSheetId="48">'Non-Residential TSM UC Adj'!$A$1:$Y$42</definedName>
    <definedName name="_xlnm.Print_Area" localSheetId="11">'Resid Cust Cost Summary'!$A$1:$L$37</definedName>
    <definedName name="_xlnm.Print_Area" localSheetId="6">'Resid Cust Fcst '!$A$1:$BZ$44</definedName>
    <definedName name="_xlnm.Print_Area" localSheetId="10">'Resid TSM Sum by Rate Schedule'!$A$1:$L$35</definedName>
    <definedName name="_xlnm.Print_Area" localSheetId="9">'Resid TSM Summary'!$A$1:$M$40</definedName>
    <definedName name="_xlnm.Print_Area" localSheetId="7">'Resid TSM UC'!$A$1:$U$42</definedName>
    <definedName name="_xlnm.Print_Area" localSheetId="8">'Resid TSM UC Adj'!$A$1:$U$42</definedName>
    <definedName name="_xlnm.Print_Area" localSheetId="39">'Sch A6-TOU Cust Cost Summary'!$A$1:$M$35</definedName>
    <definedName name="_xlnm.Print_Area" localSheetId="36">'Sch A6-TOU Cust Fcst '!$A$1:$D$45</definedName>
    <definedName name="_xlnm.Print_Area" localSheetId="37">'Sch A6-TOU TSM'!$A$1:$M$41</definedName>
    <definedName name="_xlnm.Print_Area" localSheetId="38">'Sch A6-TOU TSM Summary'!$A$1:$M$33</definedName>
    <definedName name="_xlnm.Print_Area" localSheetId="31">'Sch AL-TOU Cust Cost Summary'!$A$1:$Q$35</definedName>
    <definedName name="_xlnm.Print_Area" localSheetId="28">'Sch AL-TOU Cust Fcst'!$A$1:$I$45</definedName>
    <definedName name="_xlnm.Print_Area" localSheetId="29">'Sch AL-TOU TSM'!$A$1:$AG$42</definedName>
    <definedName name="_xlnm.Print_Area" localSheetId="30">'Sch AL-TOU TSM Summary'!$A$1:$Q$33</definedName>
    <definedName name="_xlnm.Print_Area" localSheetId="35">'Sch DG-R Cust Cost Summary'!$A$1:$M$35</definedName>
    <definedName name="_xlnm.Print_Area" localSheetId="32">'Sch DG-R Cust Fcst'!$A$1:$H$45</definedName>
    <definedName name="_xlnm.Print_Area" localSheetId="33">'Sch DG-R TSM'!$A$1:$AC$42</definedName>
    <definedName name="_xlnm.Print_Area" localSheetId="34">'Sch DG-R TSM Summary'!$A$1:$M$33</definedName>
    <definedName name="_xlnm.Print_Area" localSheetId="12">'Sch DR TSM'!$A$1:$AC$39</definedName>
    <definedName name="_xlnm.Print_Area" localSheetId="27">'Sch OL-TOU Cust Cost Summary'!$A$1:$E$35</definedName>
    <definedName name="_xlnm.Print_Area" localSheetId="24">'Sch OL-TOU Cust Fcst'!$A$1:$H$45</definedName>
    <definedName name="_xlnm.Print_Area" localSheetId="25">'Sch OL-TOU TSM'!$A$1:$U$42</definedName>
    <definedName name="_xlnm.Print_Area" localSheetId="26">'Sch OL-TOU TSM Summary'!$A$1:$E$33</definedName>
    <definedName name="_xlnm.Print_Area" localSheetId="18">'Sch TOU-A Cust Cost Summary'!$A$1:$P$37</definedName>
    <definedName name="_xlnm.Print_Area" localSheetId="16">'Sch TOU-A TSM'!$A$1:$AC$44</definedName>
    <definedName name="_xlnm.Print_Area" localSheetId="17">'Sch TOU-A TSM Summary'!$A$1:$P$35</definedName>
    <definedName name="_xlnm.Print_Area" localSheetId="21">'Sch TOU-M Cust Cost Summary'!$A$1:$F$37</definedName>
    <definedName name="_xlnm.Print_Area" localSheetId="19">'Sch TOU-M TSM'!$A$1:$U$44</definedName>
    <definedName name="_xlnm.Print_Area" localSheetId="20">'Sch TOU-M TSM Summary'!$A$1:$F$35</definedName>
    <definedName name="_xlnm.Print_Area" localSheetId="45">'Sch TOU-PA Cust Cost Summary'!$A$1:$J$35</definedName>
    <definedName name="_xlnm.Print_Area" localSheetId="42">'Sch TOU-PA Cust Fcst'!$A$1:$H$44</definedName>
    <definedName name="_xlnm.Print_Area" localSheetId="43">'Sch TOU-PA TSM'!$A$1:$AC$41</definedName>
    <definedName name="_xlnm.Print_Area" localSheetId="44">'Sch TOU-PA TSM Summary'!$A$1:$J$33</definedName>
    <definedName name="_xlnm.Print_Area" localSheetId="5">'School Class Cust Cost Summary'!$A$1:$J$35</definedName>
    <definedName name="_xlnm.Print_Area" localSheetId="4">'School Class TSM Summary '!$A$1:$J$33</definedName>
    <definedName name="_xlnm.Print_Area" localSheetId="15">'Sm Comm Cust Cost Summary'!$A$1:$P$36</definedName>
    <definedName name="_xlnm.Print_Area" localSheetId="13">'Sm Comm Cust Fcst'!$A$1:$AJ$49</definedName>
    <definedName name="_xlnm.Print_Area" localSheetId="14">'Sm Comm TSM Summary'!$A$1:$P$34</definedName>
    <definedName name="_xlnm.Print_Area" localSheetId="46">'Street Light Cust Cost Summary'!$A$1:$B$47</definedName>
    <definedName name="_xlnm.Print_Area" localSheetId="0">'Tab Descriptions'!$A$1:$D$62</definedName>
    <definedName name="_xlnm.Print_Area" localSheetId="49">'Total Customers'!$A$1:$AL$44</definedName>
    <definedName name="_xlnm.Print_Area" localSheetId="50">'TSM Cap Cost Allocations'!$A$1:$K$36</definedName>
    <definedName name="_xlnm.Print_Titles" localSheetId="51">'Distribution O&amp;M Allocations'!$A:$A</definedName>
    <definedName name="_xlnm.Print_Titles" localSheetId="23">'M-L C&amp;I Cust Cost Summary '!$A:$A</definedName>
    <definedName name="_xlnm.Print_Titles" localSheetId="22">'M-L C&amp;I TSM Summary'!$A:$A</definedName>
    <definedName name="_xlnm.Print_Titles" localSheetId="47">'Non-Residential TSM UC'!$A:$A</definedName>
    <definedName name="_xlnm.Print_Titles" localSheetId="48">'Non-Residential TSM UC Adj'!$A:$A</definedName>
    <definedName name="_xlnm.Print_Titles" localSheetId="6">'Resid Cust Fcst '!$A:$A</definedName>
    <definedName name="_xlnm.Print_Titles" localSheetId="7">'Resid TSM UC'!$A:$A</definedName>
    <definedName name="_xlnm.Print_Titles" localSheetId="8">'Resid TSM UC Adj'!$A:$A</definedName>
    <definedName name="_xlnm.Print_Titles" localSheetId="31">'Sch AL-TOU Cust Cost Summary'!$A:$A</definedName>
    <definedName name="_xlnm.Print_Titles" localSheetId="29">'Sch AL-TOU TSM'!$A:$A</definedName>
    <definedName name="_xlnm.Print_Titles" localSheetId="33">'Sch DG-R TSM'!$A:$A</definedName>
    <definedName name="_xlnm.Print_Titles" localSheetId="12">'Sch DR TSM'!$A:$A</definedName>
    <definedName name="_xlnm.Print_Titles" localSheetId="16">'Sch TOU-A TSM'!$A:$A</definedName>
    <definedName name="_xlnm.Print_Titles" localSheetId="13">'Sm Comm Cust Fcst'!$A:$A</definedName>
    <definedName name="_xlnm.Print_Titles" localSheetId="49">'Total Customers'!$A:$A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0" i="235" l="1"/>
  <c r="Q30" i="235"/>
  <c r="O29" i="79" l="1"/>
  <c r="O28" i="79"/>
  <c r="O27" i="79"/>
  <c r="O26" i="79"/>
  <c r="O25" i="79"/>
  <c r="O24" i="79"/>
  <c r="O23" i="79"/>
  <c r="O22" i="79"/>
  <c r="O21" i="79"/>
  <c r="O20" i="79"/>
  <c r="O19" i="79"/>
  <c r="O18" i="79"/>
  <c r="O17" i="79"/>
  <c r="O16" i="79"/>
  <c r="O15" i="79"/>
  <c r="O14" i="79"/>
  <c r="O13" i="79"/>
  <c r="O12" i="79"/>
  <c r="O11" i="79"/>
  <c r="O10" i="79"/>
  <c r="O9" i="79"/>
  <c r="O8" i="79"/>
  <c r="O7" i="79"/>
  <c r="K28" i="79"/>
  <c r="K27" i="79"/>
  <c r="K26" i="79"/>
  <c r="K25" i="79"/>
  <c r="K24" i="79"/>
  <c r="K23" i="79"/>
  <c r="K22" i="79"/>
  <c r="K21" i="79"/>
  <c r="K20" i="79"/>
  <c r="K19" i="79"/>
  <c r="K18" i="79"/>
  <c r="K17" i="79"/>
  <c r="K16" i="79"/>
  <c r="K15" i="79"/>
  <c r="K14" i="79"/>
  <c r="K13" i="79"/>
  <c r="K12" i="79"/>
  <c r="K11" i="79"/>
  <c r="K10" i="79"/>
  <c r="K9" i="79"/>
  <c r="K8" i="79"/>
  <c r="K7" i="79"/>
  <c r="G17" i="79"/>
  <c r="G16" i="79"/>
  <c r="G15" i="79"/>
  <c r="G14" i="79"/>
  <c r="G13" i="79"/>
  <c r="G12" i="79"/>
  <c r="G11" i="79"/>
  <c r="G10" i="79"/>
  <c r="G9" i="79"/>
  <c r="G8" i="79"/>
  <c r="G7" i="79"/>
  <c r="X37" i="79"/>
  <c r="X36" i="79"/>
  <c r="X35" i="79"/>
  <c r="X34" i="79"/>
  <c r="X33" i="79"/>
  <c r="X32" i="79"/>
  <c r="X31" i="79"/>
  <c r="X30" i="79"/>
  <c r="X29" i="79"/>
  <c r="X28" i="79"/>
  <c r="X27" i="79"/>
  <c r="X26" i="79"/>
  <c r="X25" i="79"/>
  <c r="X24" i="79"/>
  <c r="X23" i="79"/>
  <c r="X22" i="79"/>
  <c r="X21" i="79"/>
  <c r="X20" i="79"/>
  <c r="X19" i="79"/>
  <c r="X18" i="79"/>
  <c r="X17" i="79"/>
  <c r="X16" i="79"/>
  <c r="X15" i="79"/>
  <c r="X14" i="79"/>
  <c r="X13" i="79"/>
  <c r="X12" i="79"/>
  <c r="X11" i="79"/>
  <c r="X10" i="79"/>
  <c r="X9" i="79"/>
  <c r="X8" i="79"/>
  <c r="X7" i="79"/>
  <c r="T37" i="79"/>
  <c r="T36" i="79"/>
  <c r="T35" i="79"/>
  <c r="T34" i="79"/>
  <c r="T33" i="79"/>
  <c r="T32" i="79"/>
  <c r="T31" i="79"/>
  <c r="T30" i="79"/>
  <c r="T29" i="79"/>
  <c r="T28" i="79"/>
  <c r="T27" i="79"/>
  <c r="T26" i="79"/>
  <c r="T25" i="79"/>
  <c r="T24" i="79"/>
  <c r="T23" i="79"/>
  <c r="T22" i="79"/>
  <c r="T21" i="79"/>
  <c r="T20" i="79"/>
  <c r="T19" i="79"/>
  <c r="T18" i="79"/>
  <c r="T17" i="79"/>
  <c r="T16" i="79"/>
  <c r="T15" i="79"/>
  <c r="T14" i="79"/>
  <c r="T13" i="79"/>
  <c r="T12" i="79"/>
  <c r="T11" i="79"/>
  <c r="T10" i="79"/>
  <c r="T9" i="79"/>
  <c r="T8" i="79"/>
  <c r="T7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L28" i="79"/>
  <c r="L27" i="79"/>
  <c r="L26" i="79"/>
  <c r="L25" i="79"/>
  <c r="L24" i="79"/>
  <c r="L23" i="79"/>
  <c r="L22" i="79"/>
  <c r="L21" i="79"/>
  <c r="L20" i="79"/>
  <c r="L19" i="79"/>
  <c r="L18" i="79"/>
  <c r="L17" i="79"/>
  <c r="L16" i="79"/>
  <c r="L15" i="79"/>
  <c r="L14" i="79"/>
  <c r="L13" i="79"/>
  <c r="L12" i="79"/>
  <c r="L11" i="79"/>
  <c r="L10" i="79"/>
  <c r="L9" i="79"/>
  <c r="L8" i="79"/>
  <c r="L7" i="79"/>
  <c r="H17" i="79"/>
  <c r="H16" i="79"/>
  <c r="H15" i="79"/>
  <c r="H14" i="79"/>
  <c r="H13" i="79"/>
  <c r="H12" i="79"/>
  <c r="H11" i="79"/>
  <c r="H10" i="79"/>
  <c r="H9" i="79"/>
  <c r="H8" i="79"/>
  <c r="H7" i="79"/>
  <c r="D16" i="79"/>
  <c r="D15" i="79"/>
  <c r="D14" i="79"/>
  <c r="D13" i="79"/>
  <c r="D12" i="79"/>
  <c r="D11" i="79"/>
  <c r="D10" i="79"/>
  <c r="D9" i="79"/>
  <c r="D8" i="79"/>
  <c r="D7" i="79"/>
  <c r="C16" i="79"/>
  <c r="C15" i="79"/>
  <c r="C14" i="79"/>
  <c r="C13" i="79"/>
  <c r="C12" i="79"/>
  <c r="C11" i="79"/>
  <c r="C10" i="79"/>
  <c r="C9" i="79"/>
  <c r="C8" i="79"/>
  <c r="C7" i="79"/>
  <c r="N29" i="79"/>
  <c r="N28" i="79"/>
  <c r="N27" i="79"/>
  <c r="N26" i="79"/>
  <c r="N25" i="79"/>
  <c r="N24" i="79"/>
  <c r="N23" i="79"/>
  <c r="N22" i="79"/>
  <c r="N21" i="79"/>
  <c r="N20" i="79"/>
  <c r="N19" i="79"/>
  <c r="N18" i="79"/>
  <c r="N17" i="79"/>
  <c r="N16" i="79"/>
  <c r="N15" i="79"/>
  <c r="N14" i="79"/>
  <c r="N13" i="79"/>
  <c r="N12" i="79"/>
  <c r="N11" i="79"/>
  <c r="N10" i="79"/>
  <c r="N9" i="79"/>
  <c r="N8" i="79"/>
  <c r="N7" i="79"/>
  <c r="J28" i="79"/>
  <c r="J27" i="79"/>
  <c r="J26" i="79"/>
  <c r="J25" i="79"/>
  <c r="J24" i="79"/>
  <c r="J23" i="79"/>
  <c r="J22" i="79"/>
  <c r="J21" i="79"/>
  <c r="J20" i="79"/>
  <c r="J19" i="79"/>
  <c r="J18" i="79"/>
  <c r="J17" i="79"/>
  <c r="J16" i="79"/>
  <c r="J15" i="79"/>
  <c r="J14" i="79"/>
  <c r="J13" i="79"/>
  <c r="J12" i="79"/>
  <c r="J11" i="79"/>
  <c r="J10" i="79"/>
  <c r="J9" i="79"/>
  <c r="J8" i="79"/>
  <c r="J7" i="79"/>
  <c r="F17" i="79"/>
  <c r="F16" i="79"/>
  <c r="F15" i="79"/>
  <c r="F14" i="79"/>
  <c r="F13" i="79"/>
  <c r="F12" i="79"/>
  <c r="F11" i="79"/>
  <c r="F10" i="79"/>
  <c r="F9" i="79"/>
  <c r="F8" i="79"/>
  <c r="F7" i="79"/>
  <c r="B16" i="79"/>
  <c r="B15" i="79"/>
  <c r="B14" i="79"/>
  <c r="B13" i="79"/>
  <c r="B12" i="79"/>
  <c r="B11" i="79"/>
  <c r="B10" i="79"/>
  <c r="B9" i="79"/>
  <c r="B8" i="79"/>
  <c r="B7" i="79"/>
  <c r="W7" i="79" l="1"/>
  <c r="S7" i="79"/>
  <c r="W11" i="79"/>
  <c r="S11" i="79"/>
  <c r="W15" i="79"/>
  <c r="S15" i="79"/>
  <c r="W19" i="79"/>
  <c r="S19" i="79"/>
  <c r="W23" i="79"/>
  <c r="S23" i="79"/>
  <c r="W27" i="79"/>
  <c r="S27" i="79"/>
  <c r="W31" i="79"/>
  <c r="S31" i="79"/>
  <c r="W35" i="79"/>
  <c r="S35" i="79"/>
  <c r="W8" i="79"/>
  <c r="S8" i="79"/>
  <c r="W12" i="79"/>
  <c r="S12" i="79"/>
  <c r="W16" i="79"/>
  <c r="S16" i="79"/>
  <c r="W20" i="79"/>
  <c r="S20" i="79"/>
  <c r="W24" i="79"/>
  <c r="S24" i="79"/>
  <c r="W28" i="79"/>
  <c r="S28" i="79"/>
  <c r="W32" i="79"/>
  <c r="S32" i="79"/>
  <c r="W36" i="79"/>
  <c r="S36" i="79"/>
  <c r="W9" i="79"/>
  <c r="S9" i="79"/>
  <c r="W13" i="79"/>
  <c r="S13" i="79"/>
  <c r="W17" i="79"/>
  <c r="S17" i="79"/>
  <c r="W21" i="79"/>
  <c r="S21" i="79"/>
  <c r="W25" i="79"/>
  <c r="S25" i="79"/>
  <c r="W29" i="79"/>
  <c r="S29" i="79"/>
  <c r="W33" i="79"/>
  <c r="S33" i="79"/>
  <c r="W37" i="79"/>
  <c r="S37" i="79"/>
  <c r="W10" i="79"/>
  <c r="S10" i="79"/>
  <c r="W14" i="79"/>
  <c r="S14" i="79"/>
  <c r="W18" i="79"/>
  <c r="S18" i="79"/>
  <c r="W22" i="79"/>
  <c r="S22" i="79"/>
  <c r="W26" i="79"/>
  <c r="S26" i="79"/>
  <c r="W30" i="79"/>
  <c r="S30" i="79"/>
  <c r="W34" i="79"/>
  <c r="S34" i="79"/>
  <c r="AF38" i="50" l="1"/>
  <c r="F7" i="157" l="1"/>
  <c r="I7" i="157" s="1"/>
  <c r="A3" i="120" l="1"/>
  <c r="A15" i="243" l="1"/>
  <c r="A15" i="242"/>
  <c r="A17" i="243"/>
  <c r="A17" i="242"/>
  <c r="Q88" i="143"/>
  <c r="Q98" i="143" l="1"/>
  <c r="H24" i="96"/>
  <c r="F22" i="96"/>
  <c r="F12" i="96"/>
  <c r="F11" i="64"/>
  <c r="H11" i="64" s="1"/>
  <c r="H12" i="96" l="1"/>
  <c r="H22" i="96"/>
  <c r="F11" i="96"/>
  <c r="H11" i="96" l="1"/>
  <c r="F29" i="228"/>
  <c r="G29" i="228"/>
  <c r="H29" i="228"/>
  <c r="F30" i="228"/>
  <c r="G30" i="228"/>
  <c r="H30" i="228"/>
  <c r="F31" i="228"/>
  <c r="G31" i="228"/>
  <c r="H31" i="228"/>
  <c r="F32" i="228"/>
  <c r="G32" i="228"/>
  <c r="H32" i="228"/>
  <c r="F33" i="228"/>
  <c r="G33" i="228"/>
  <c r="H33" i="228"/>
  <c r="F34" i="228"/>
  <c r="G34" i="228"/>
  <c r="H34" i="228"/>
  <c r="F35" i="228"/>
  <c r="G35" i="228"/>
  <c r="H35" i="228"/>
  <c r="F36" i="228"/>
  <c r="G36" i="228"/>
  <c r="H36" i="228"/>
  <c r="F37" i="228"/>
  <c r="G37" i="228"/>
  <c r="H37" i="228"/>
  <c r="B29" i="228"/>
  <c r="C29" i="228"/>
  <c r="D29" i="228"/>
  <c r="B30" i="228"/>
  <c r="C30" i="228"/>
  <c r="D30" i="228"/>
  <c r="B31" i="228"/>
  <c r="C31" i="228"/>
  <c r="D31" i="228"/>
  <c r="B32" i="228"/>
  <c r="C32" i="228"/>
  <c r="D32" i="228"/>
  <c r="B33" i="228"/>
  <c r="C33" i="228"/>
  <c r="D33" i="228"/>
  <c r="B34" i="228"/>
  <c r="C34" i="228"/>
  <c r="D34" i="228"/>
  <c r="B35" i="228"/>
  <c r="C35" i="228"/>
  <c r="D35" i="228"/>
  <c r="B36" i="228"/>
  <c r="C36" i="228"/>
  <c r="D36" i="228"/>
  <c r="B37" i="228"/>
  <c r="C37" i="228"/>
  <c r="D37" i="228"/>
  <c r="B29" i="156"/>
  <c r="C29" i="156"/>
  <c r="D29" i="156"/>
  <c r="B30" i="156"/>
  <c r="C30" i="156"/>
  <c r="D30" i="156"/>
  <c r="B31" i="156"/>
  <c r="C31" i="156"/>
  <c r="D31" i="156"/>
  <c r="B32" i="156"/>
  <c r="C32" i="156"/>
  <c r="D32" i="156"/>
  <c r="B33" i="156"/>
  <c r="C33" i="156"/>
  <c r="D33" i="156"/>
  <c r="B34" i="156"/>
  <c r="C34" i="156"/>
  <c r="D34" i="156"/>
  <c r="B35" i="156"/>
  <c r="C35" i="156"/>
  <c r="C42" i="156" s="1"/>
  <c r="D35" i="156"/>
  <c r="B36" i="156"/>
  <c r="C36" i="156"/>
  <c r="D36" i="156"/>
  <c r="B37" i="156"/>
  <c r="E37" i="156" s="1"/>
  <c r="C37" i="156"/>
  <c r="D37" i="156"/>
  <c r="F30" i="232"/>
  <c r="G30" i="232"/>
  <c r="H30" i="232"/>
  <c r="F31" i="232"/>
  <c r="G31" i="232"/>
  <c r="H31" i="232"/>
  <c r="F32" i="232"/>
  <c r="G32" i="232"/>
  <c r="H32" i="232"/>
  <c r="F33" i="232"/>
  <c r="G33" i="232"/>
  <c r="H33" i="232"/>
  <c r="F34" i="232"/>
  <c r="G34" i="232"/>
  <c r="H34" i="232"/>
  <c r="F35" i="232"/>
  <c r="G35" i="232"/>
  <c r="H35" i="232"/>
  <c r="F36" i="232"/>
  <c r="G36" i="232"/>
  <c r="H36" i="232"/>
  <c r="F37" i="232"/>
  <c r="G37" i="232"/>
  <c r="H37" i="232"/>
  <c r="F38" i="232"/>
  <c r="G38" i="232"/>
  <c r="H38" i="232"/>
  <c r="B30" i="232"/>
  <c r="C30" i="232"/>
  <c r="D30" i="232"/>
  <c r="B31" i="232"/>
  <c r="C31" i="232"/>
  <c r="D31" i="232"/>
  <c r="B32" i="232"/>
  <c r="C32" i="232"/>
  <c r="D32" i="232"/>
  <c r="B33" i="232"/>
  <c r="C33" i="232"/>
  <c r="D33" i="232"/>
  <c r="B34" i="232"/>
  <c r="C34" i="232"/>
  <c r="D34" i="232"/>
  <c r="B35" i="232"/>
  <c r="C35" i="232"/>
  <c r="D35" i="232"/>
  <c r="B36" i="232"/>
  <c r="C36" i="232"/>
  <c r="D36" i="232"/>
  <c r="B37" i="232"/>
  <c r="C37" i="232"/>
  <c r="D37" i="232"/>
  <c r="B38" i="232"/>
  <c r="C38" i="232"/>
  <c r="D38" i="232"/>
  <c r="D16" i="164"/>
  <c r="C16" i="164"/>
  <c r="E16" i="235"/>
  <c r="D42" i="156" l="1"/>
  <c r="E32" i="156"/>
  <c r="E34" i="156"/>
  <c r="B42" i="156"/>
  <c r="E42" i="156" s="1"/>
  <c r="E47" i="156" s="1"/>
  <c r="E30" i="156"/>
  <c r="E35" i="156"/>
  <c r="E33" i="156"/>
  <c r="E31" i="156"/>
  <c r="E29" i="156"/>
  <c r="E16" i="236"/>
  <c r="C16" i="165"/>
  <c r="D16" i="165"/>
  <c r="E36" i="156"/>
  <c r="Q30" i="236" l="1"/>
  <c r="Q31" i="236"/>
  <c r="Q34" i="236"/>
  <c r="Q33" i="236" l="1"/>
  <c r="Q32" i="236"/>
  <c r="C16" i="160" l="1"/>
  <c r="C16" i="156"/>
  <c r="C17" i="162"/>
  <c r="C16" i="159"/>
  <c r="B16" i="156"/>
  <c r="B16" i="160"/>
  <c r="E16" i="79"/>
  <c r="B17" i="162"/>
  <c r="B16" i="159"/>
  <c r="D16" i="160"/>
  <c r="D17" i="162"/>
  <c r="D16" i="156"/>
  <c r="D16" i="159"/>
  <c r="E16" i="156" l="1"/>
  <c r="AG7" i="50"/>
  <c r="AK7" i="50" s="1"/>
  <c r="B41" i="96"/>
  <c r="B40" i="96"/>
  <c r="B39" i="96"/>
  <c r="B38" i="96"/>
  <c r="AK39" i="50" l="1"/>
  <c r="A1" i="120"/>
  <c r="A17" i="217" l="1"/>
  <c r="A17" i="230"/>
  <c r="A17" i="229"/>
  <c r="A17" i="220"/>
  <c r="A17" i="223"/>
  <c r="A17" i="184"/>
  <c r="A17" i="193"/>
  <c r="A17" i="194"/>
  <c r="A17" i="187"/>
  <c r="A17" i="192"/>
  <c r="A17" i="191"/>
  <c r="A17" i="189"/>
  <c r="A17" i="190"/>
  <c r="A17" i="222"/>
  <c r="A17" i="221"/>
  <c r="A18" i="199"/>
  <c r="A18" i="175"/>
  <c r="A18" i="234"/>
  <c r="A18" i="233"/>
  <c r="A17" i="42"/>
  <c r="A17" i="225"/>
  <c r="A17" i="224"/>
  <c r="A17" i="196"/>
  <c r="H16" i="156" l="1"/>
  <c r="D15" i="156"/>
  <c r="C14" i="156"/>
  <c r="U13" i="236"/>
  <c r="D11" i="156"/>
  <c r="C10" i="156"/>
  <c r="C20" i="80"/>
  <c r="B16" i="164" s="1"/>
  <c r="T29" i="164"/>
  <c r="U29" i="235"/>
  <c r="P29" i="164"/>
  <c r="P28" i="164"/>
  <c r="L28" i="164"/>
  <c r="T27" i="164"/>
  <c r="P27" i="164"/>
  <c r="L27" i="164"/>
  <c r="T26" i="164"/>
  <c r="P26" i="164"/>
  <c r="L26" i="164"/>
  <c r="T25" i="164"/>
  <c r="P25" i="164"/>
  <c r="L25" i="164"/>
  <c r="P24" i="164"/>
  <c r="L24" i="164"/>
  <c r="T23" i="164"/>
  <c r="P23" i="164"/>
  <c r="L23" i="164"/>
  <c r="T22" i="164"/>
  <c r="P22" i="164"/>
  <c r="L22" i="164"/>
  <c r="T21" i="164"/>
  <c r="P21" i="164"/>
  <c r="L21" i="164"/>
  <c r="P20" i="164"/>
  <c r="L20" i="164"/>
  <c r="T19" i="164"/>
  <c r="P19" i="164"/>
  <c r="L19" i="164"/>
  <c r="T18" i="164"/>
  <c r="P18" i="164"/>
  <c r="L18" i="164"/>
  <c r="T17" i="164"/>
  <c r="P17" i="164"/>
  <c r="L17" i="164"/>
  <c r="H17" i="164"/>
  <c r="T16" i="164"/>
  <c r="P16" i="164"/>
  <c r="L16" i="164"/>
  <c r="H16" i="164"/>
  <c r="T15" i="164"/>
  <c r="P15" i="164"/>
  <c r="L15" i="164"/>
  <c r="H15" i="164"/>
  <c r="D15" i="164"/>
  <c r="C15" i="164"/>
  <c r="T14" i="164"/>
  <c r="P14" i="164"/>
  <c r="L14" i="164"/>
  <c r="H14" i="164"/>
  <c r="D14" i="164"/>
  <c r="C14" i="164"/>
  <c r="T13" i="164"/>
  <c r="P13" i="164"/>
  <c r="L13" i="164"/>
  <c r="H13" i="164"/>
  <c r="D13" i="164"/>
  <c r="C13" i="164"/>
  <c r="T12" i="164"/>
  <c r="P12" i="164"/>
  <c r="L12" i="164"/>
  <c r="H12" i="164"/>
  <c r="D12" i="164"/>
  <c r="T11" i="164"/>
  <c r="P11" i="164"/>
  <c r="L11" i="164"/>
  <c r="H11" i="164"/>
  <c r="D11" i="164"/>
  <c r="C11" i="164"/>
  <c r="T10" i="164"/>
  <c r="P10" i="164"/>
  <c r="L10" i="164"/>
  <c r="H10" i="164"/>
  <c r="D10" i="164"/>
  <c r="C10" i="164"/>
  <c r="T9" i="164"/>
  <c r="P9" i="164"/>
  <c r="L9" i="164"/>
  <c r="H9" i="164"/>
  <c r="D9" i="164"/>
  <c r="C9" i="164"/>
  <c r="T8" i="164"/>
  <c r="P8" i="164"/>
  <c r="L8" i="164"/>
  <c r="H8" i="164"/>
  <c r="D8" i="164"/>
  <c r="T7" i="164"/>
  <c r="P7" i="164"/>
  <c r="L7" i="164"/>
  <c r="H7" i="164"/>
  <c r="D7" i="164"/>
  <c r="C7" i="164"/>
  <c r="E16" i="164" l="1"/>
  <c r="B16" i="165"/>
  <c r="F19" i="228"/>
  <c r="B19" i="156"/>
  <c r="B20" i="232"/>
  <c r="F20" i="232"/>
  <c r="B19" i="228"/>
  <c r="G20" i="228"/>
  <c r="C20" i="156"/>
  <c r="C21" i="232"/>
  <c r="G21" i="232"/>
  <c r="C20" i="228"/>
  <c r="H25" i="228"/>
  <c r="D25" i="156"/>
  <c r="D26" i="232"/>
  <c r="H26" i="232"/>
  <c r="D25" i="228"/>
  <c r="H21" i="228"/>
  <c r="D21" i="156"/>
  <c r="D22" i="232"/>
  <c r="H22" i="232"/>
  <c r="D21" i="228"/>
  <c r="F27" i="228"/>
  <c r="B27" i="156"/>
  <c r="B28" i="232"/>
  <c r="F28" i="232"/>
  <c r="B27" i="228"/>
  <c r="G28" i="228"/>
  <c r="C28" i="156"/>
  <c r="C29" i="232"/>
  <c r="G29" i="232"/>
  <c r="C28" i="228"/>
  <c r="D17" i="228"/>
  <c r="D17" i="156"/>
  <c r="D18" i="232"/>
  <c r="G24" i="228"/>
  <c r="C24" i="156"/>
  <c r="C25" i="232"/>
  <c r="G25" i="232"/>
  <c r="C24" i="228"/>
  <c r="U17" i="235"/>
  <c r="S17" i="164" s="1"/>
  <c r="U21" i="235"/>
  <c r="S21" i="164" s="1"/>
  <c r="M14" i="235"/>
  <c r="J14" i="164" s="1"/>
  <c r="K14" i="164" s="1"/>
  <c r="E15" i="235"/>
  <c r="B15" i="164" s="1"/>
  <c r="M22" i="236"/>
  <c r="Q23" i="236"/>
  <c r="U33" i="236"/>
  <c r="U25" i="236"/>
  <c r="E10" i="236"/>
  <c r="Q20" i="236"/>
  <c r="I13" i="235"/>
  <c r="F13" i="164" s="1"/>
  <c r="G13" i="164" s="1"/>
  <c r="M17" i="235"/>
  <c r="Q18" i="235"/>
  <c r="O18" i="164" s="1"/>
  <c r="Q19" i="235"/>
  <c r="O19" i="164" s="1"/>
  <c r="Q21" i="235"/>
  <c r="O21" i="164" s="1"/>
  <c r="Q11" i="236"/>
  <c r="E7" i="235"/>
  <c r="B7" i="164" s="1"/>
  <c r="U9" i="235"/>
  <c r="S9" i="164" s="1"/>
  <c r="I14" i="235"/>
  <c r="F14" i="164" s="1"/>
  <c r="G14" i="164" s="1"/>
  <c r="Q15" i="235"/>
  <c r="N15" i="164" s="1"/>
  <c r="O15" i="164" s="1"/>
  <c r="I17" i="235"/>
  <c r="G17" i="164" s="1"/>
  <c r="M21" i="235"/>
  <c r="Q22" i="235"/>
  <c r="O22" i="164" s="1"/>
  <c r="Q23" i="235"/>
  <c r="O23" i="164" s="1"/>
  <c r="Q25" i="235"/>
  <c r="O25" i="164" s="1"/>
  <c r="I8" i="236"/>
  <c r="I10" i="235"/>
  <c r="F10" i="164" s="1"/>
  <c r="G10" i="164" s="1"/>
  <c r="Q11" i="235"/>
  <c r="N11" i="164" s="1"/>
  <c r="O11" i="164" s="1"/>
  <c r="I12" i="235"/>
  <c r="F12" i="164" s="1"/>
  <c r="G12" i="164" s="1"/>
  <c r="Q13" i="235"/>
  <c r="N13" i="164" s="1"/>
  <c r="O13" i="164" s="1"/>
  <c r="M20" i="235"/>
  <c r="M16" i="236"/>
  <c r="M17" i="236"/>
  <c r="U17" i="236"/>
  <c r="Q28" i="236"/>
  <c r="I7" i="235"/>
  <c r="F7" i="164" s="1"/>
  <c r="G7" i="164" s="1"/>
  <c r="E10" i="235"/>
  <c r="B10" i="164" s="1"/>
  <c r="M11" i="235"/>
  <c r="J11" i="164" s="1"/>
  <c r="K11" i="164" s="1"/>
  <c r="M13" i="235"/>
  <c r="J13" i="164" s="1"/>
  <c r="K13" i="164" s="1"/>
  <c r="Q17" i="235"/>
  <c r="N17" i="164" s="1"/>
  <c r="O17" i="164" s="1"/>
  <c r="M24" i="235"/>
  <c r="M28" i="235"/>
  <c r="Q12" i="236"/>
  <c r="M13" i="236"/>
  <c r="M14" i="236"/>
  <c r="I15" i="236"/>
  <c r="M25" i="236"/>
  <c r="U35" i="236"/>
  <c r="U15" i="235"/>
  <c r="S15" i="164" s="1"/>
  <c r="U8" i="235"/>
  <c r="S8" i="164" s="1"/>
  <c r="E12" i="235"/>
  <c r="B12" i="164" s="1"/>
  <c r="C12" i="164"/>
  <c r="U13" i="235"/>
  <c r="S13" i="164" s="1"/>
  <c r="Q16" i="235"/>
  <c r="N16" i="164" s="1"/>
  <c r="O16" i="164" s="1"/>
  <c r="U16" i="235"/>
  <c r="S16" i="164" s="1"/>
  <c r="T24" i="164"/>
  <c r="U24" i="235"/>
  <c r="S24" i="164" s="1"/>
  <c r="T20" i="164"/>
  <c r="U20" i="235"/>
  <c r="S20" i="164" s="1"/>
  <c r="U7" i="235"/>
  <c r="S7" i="164" s="1"/>
  <c r="U10" i="235"/>
  <c r="S10" i="164" s="1"/>
  <c r="Q10" i="235"/>
  <c r="N10" i="164" s="1"/>
  <c r="O10" i="164" s="1"/>
  <c r="I11" i="235"/>
  <c r="F11" i="164" s="1"/>
  <c r="G11" i="164" s="1"/>
  <c r="Q12" i="235"/>
  <c r="N12" i="164" s="1"/>
  <c r="O12" i="164" s="1"/>
  <c r="U12" i="235"/>
  <c r="S12" i="164" s="1"/>
  <c r="E13" i="235"/>
  <c r="B13" i="164" s="1"/>
  <c r="E14" i="235"/>
  <c r="B14" i="164" s="1"/>
  <c r="U14" i="235"/>
  <c r="S14" i="164" s="1"/>
  <c r="M15" i="235"/>
  <c r="K15" i="164" s="1"/>
  <c r="M16" i="235"/>
  <c r="M25" i="235"/>
  <c r="U25" i="235"/>
  <c r="S25" i="164" s="1"/>
  <c r="Q26" i="235"/>
  <c r="O26" i="164" s="1"/>
  <c r="Q27" i="235"/>
  <c r="O27" i="164" s="1"/>
  <c r="T28" i="164"/>
  <c r="U28" i="235"/>
  <c r="S28" i="164" s="1"/>
  <c r="U11" i="236"/>
  <c r="U23" i="236"/>
  <c r="E8" i="235"/>
  <c r="B8" i="164" s="1"/>
  <c r="C8" i="164"/>
  <c r="I7" i="236"/>
  <c r="Q8" i="235"/>
  <c r="N8" i="164" s="1"/>
  <c r="O8" i="164" s="1"/>
  <c r="E9" i="235"/>
  <c r="B9" i="164" s="1"/>
  <c r="I9" i="235"/>
  <c r="F9" i="164" s="1"/>
  <c r="G9" i="164" s="1"/>
  <c r="M9" i="235"/>
  <c r="J9" i="164" s="1"/>
  <c r="K9" i="164" s="1"/>
  <c r="Q9" i="235"/>
  <c r="N9" i="164" s="1"/>
  <c r="O9" i="164" s="1"/>
  <c r="Q7" i="235"/>
  <c r="N7" i="164" s="1"/>
  <c r="O7" i="164" s="1"/>
  <c r="M8" i="235"/>
  <c r="J8" i="164" s="1"/>
  <c r="K8" i="164" s="1"/>
  <c r="M7" i="235"/>
  <c r="J7" i="164" s="1"/>
  <c r="K7" i="164" s="1"/>
  <c r="I8" i="235"/>
  <c r="F8" i="164" s="1"/>
  <c r="G8" i="164" s="1"/>
  <c r="M10" i="235"/>
  <c r="J10" i="164" s="1"/>
  <c r="K10" i="164" s="1"/>
  <c r="E11" i="235"/>
  <c r="B11" i="164" s="1"/>
  <c r="U11" i="235"/>
  <c r="S11" i="164" s="1"/>
  <c r="M12" i="235"/>
  <c r="J12" i="164" s="1"/>
  <c r="K12" i="164" s="1"/>
  <c r="Q14" i="235"/>
  <c r="N14" i="164" s="1"/>
  <c r="O14" i="164" s="1"/>
  <c r="I15" i="235"/>
  <c r="G15" i="164" s="1"/>
  <c r="I16" i="235"/>
  <c r="G16" i="164" s="1"/>
  <c r="Q29" i="235"/>
  <c r="O29" i="164" s="1"/>
  <c r="E9" i="236"/>
  <c r="B9" i="156"/>
  <c r="U9" i="236"/>
  <c r="U21" i="236"/>
  <c r="U31" i="236"/>
  <c r="M18" i="235"/>
  <c r="M19" i="235"/>
  <c r="Q20" i="235"/>
  <c r="O20" i="164" s="1"/>
  <c r="M22" i="235"/>
  <c r="M23" i="235"/>
  <c r="Q24" i="235"/>
  <c r="O24" i="164" s="1"/>
  <c r="M26" i="235"/>
  <c r="M27" i="235"/>
  <c r="Q28" i="235"/>
  <c r="O28" i="164" s="1"/>
  <c r="E7" i="236"/>
  <c r="E8" i="236"/>
  <c r="Q9" i="236"/>
  <c r="Q10" i="236"/>
  <c r="M11" i="236"/>
  <c r="M12" i="236"/>
  <c r="I13" i="236"/>
  <c r="I14" i="236"/>
  <c r="E15" i="236"/>
  <c r="I16" i="236"/>
  <c r="I17" i="236"/>
  <c r="Q18" i="236"/>
  <c r="M20" i="236"/>
  <c r="Q21" i="236"/>
  <c r="M23" i="236"/>
  <c r="Q26" i="236"/>
  <c r="M28" i="236"/>
  <c r="S29" i="164"/>
  <c r="Q7" i="236"/>
  <c r="Q8" i="236"/>
  <c r="M9" i="236"/>
  <c r="M10" i="236"/>
  <c r="I11" i="236"/>
  <c r="I12" i="236"/>
  <c r="E13" i="236"/>
  <c r="E14" i="236"/>
  <c r="Q15" i="236"/>
  <c r="M18" i="236"/>
  <c r="Q19" i="236"/>
  <c r="M21" i="236"/>
  <c r="Q24" i="236"/>
  <c r="M26" i="236"/>
  <c r="Q27" i="236"/>
  <c r="Q29" i="236"/>
  <c r="U18" i="235"/>
  <c r="S18" i="164" s="1"/>
  <c r="U19" i="235"/>
  <c r="S19" i="164" s="1"/>
  <c r="U22" i="235"/>
  <c r="S22" i="164" s="1"/>
  <c r="U23" i="235"/>
  <c r="S23" i="164" s="1"/>
  <c r="U26" i="235"/>
  <c r="S26" i="164" s="1"/>
  <c r="U27" i="235"/>
  <c r="S27" i="164" s="1"/>
  <c r="M7" i="236"/>
  <c r="U7" i="236"/>
  <c r="M8" i="236"/>
  <c r="I9" i="236"/>
  <c r="I10" i="236"/>
  <c r="E11" i="236"/>
  <c r="E12" i="236"/>
  <c r="Q13" i="236"/>
  <c r="Q14" i="236"/>
  <c r="M15" i="236"/>
  <c r="U15" i="236"/>
  <c r="Q16" i="236"/>
  <c r="Q17" i="236"/>
  <c r="M19" i="236"/>
  <c r="U19" i="236"/>
  <c r="Q22" i="236"/>
  <c r="M24" i="236"/>
  <c r="Q25" i="236"/>
  <c r="M27" i="236"/>
  <c r="U27" i="236"/>
  <c r="U29" i="236"/>
  <c r="U37" i="236"/>
  <c r="B13" i="156"/>
  <c r="B7" i="156"/>
  <c r="C15" i="156"/>
  <c r="B14" i="156"/>
  <c r="D12" i="156"/>
  <c r="C11" i="156"/>
  <c r="B10" i="156"/>
  <c r="D8" i="156"/>
  <c r="H17" i="156"/>
  <c r="G16" i="156"/>
  <c r="D7" i="156"/>
  <c r="B15" i="156"/>
  <c r="D13" i="156"/>
  <c r="C12" i="156"/>
  <c r="B11" i="156"/>
  <c r="D9" i="156"/>
  <c r="C8" i="156"/>
  <c r="G17" i="156"/>
  <c r="F16" i="156"/>
  <c r="C7" i="156"/>
  <c r="D14" i="156"/>
  <c r="C13" i="156"/>
  <c r="B12" i="156"/>
  <c r="D10" i="156"/>
  <c r="C9" i="156"/>
  <c r="B8" i="156"/>
  <c r="F17" i="156"/>
  <c r="U8" i="236"/>
  <c r="U10" i="236"/>
  <c r="U12" i="236"/>
  <c r="U14" i="236"/>
  <c r="U16" i="236"/>
  <c r="U18" i="236"/>
  <c r="U20" i="236"/>
  <c r="U22" i="236"/>
  <c r="U24" i="236"/>
  <c r="U26" i="236"/>
  <c r="U28" i="236"/>
  <c r="U30" i="236"/>
  <c r="U32" i="236"/>
  <c r="U34" i="236"/>
  <c r="U36" i="236"/>
  <c r="B18" i="228" l="1"/>
  <c r="F19" i="232"/>
  <c r="B18" i="156"/>
  <c r="B19" i="232"/>
  <c r="F18" i="228"/>
  <c r="C23" i="228"/>
  <c r="G23" i="228"/>
  <c r="C23" i="156"/>
  <c r="C24" i="232"/>
  <c r="G24" i="232"/>
  <c r="D28" i="228"/>
  <c r="H28" i="228"/>
  <c r="D28" i="156"/>
  <c r="D29" i="232"/>
  <c r="H29" i="232"/>
  <c r="D19" i="228"/>
  <c r="H19" i="228"/>
  <c r="D19" i="156"/>
  <c r="D20" i="232"/>
  <c r="H20" i="232"/>
  <c r="B25" i="228"/>
  <c r="F25" i="228"/>
  <c r="B25" i="156"/>
  <c r="B26" i="232"/>
  <c r="F26" i="232"/>
  <c r="H18" i="228"/>
  <c r="D18" i="228"/>
  <c r="H18" i="156"/>
  <c r="H19" i="232"/>
  <c r="D18" i="156"/>
  <c r="D19" i="232"/>
  <c r="F25" i="232"/>
  <c r="B24" i="228"/>
  <c r="F24" i="228"/>
  <c r="B24" i="156"/>
  <c r="B25" i="232"/>
  <c r="E7" i="156"/>
  <c r="E13" i="156"/>
  <c r="C19" i="228"/>
  <c r="G19" i="228"/>
  <c r="C19" i="156"/>
  <c r="C20" i="232"/>
  <c r="G20" i="232"/>
  <c r="D24" i="228"/>
  <c r="H24" i="228"/>
  <c r="D24" i="156"/>
  <c r="D25" i="232"/>
  <c r="H25" i="232"/>
  <c r="E12" i="156"/>
  <c r="B21" i="228"/>
  <c r="F21" i="228"/>
  <c r="B21" i="156"/>
  <c r="B22" i="232"/>
  <c r="F22" i="232"/>
  <c r="C26" i="228"/>
  <c r="G26" i="228"/>
  <c r="C26" i="156"/>
  <c r="C27" i="232"/>
  <c r="G27" i="232"/>
  <c r="F21" i="232"/>
  <c r="B20" i="228"/>
  <c r="F20" i="228"/>
  <c r="B20" i="156"/>
  <c r="B21" i="232"/>
  <c r="G26" i="232"/>
  <c r="C25" i="228"/>
  <c r="G25" i="228"/>
  <c r="C25" i="156"/>
  <c r="C26" i="232"/>
  <c r="F23" i="228"/>
  <c r="B23" i="156"/>
  <c r="B24" i="232"/>
  <c r="F24" i="232"/>
  <c r="B23" i="228"/>
  <c r="B26" i="228"/>
  <c r="F26" i="228"/>
  <c r="B26" i="156"/>
  <c r="B27" i="232"/>
  <c r="F27" i="232"/>
  <c r="E8" i="156"/>
  <c r="B17" i="228"/>
  <c r="B17" i="156"/>
  <c r="B18" i="232"/>
  <c r="C22" i="228"/>
  <c r="G22" i="228"/>
  <c r="C22" i="156"/>
  <c r="C23" i="232"/>
  <c r="G23" i="232"/>
  <c r="D27" i="228"/>
  <c r="H27" i="228"/>
  <c r="D27" i="156"/>
  <c r="D28" i="232"/>
  <c r="H28" i="232"/>
  <c r="E15" i="156"/>
  <c r="G22" i="232"/>
  <c r="C21" i="228"/>
  <c r="G21" i="228"/>
  <c r="C21" i="156"/>
  <c r="C22" i="232"/>
  <c r="H27" i="232"/>
  <c r="D26" i="228"/>
  <c r="H26" i="228"/>
  <c r="D26" i="156"/>
  <c r="D27" i="232"/>
  <c r="E14" i="156"/>
  <c r="D20" i="228"/>
  <c r="H20" i="228"/>
  <c r="D20" i="156"/>
  <c r="D21" i="232"/>
  <c r="H21" i="232"/>
  <c r="B22" i="228"/>
  <c r="F22" i="228"/>
  <c r="B22" i="156"/>
  <c r="B23" i="232"/>
  <c r="F23" i="232"/>
  <c r="C27" i="228"/>
  <c r="G27" i="228"/>
  <c r="C27" i="156"/>
  <c r="C28" i="232"/>
  <c r="G28" i="232"/>
  <c r="C18" i="228"/>
  <c r="G18" i="228"/>
  <c r="C18" i="156"/>
  <c r="C19" i="232"/>
  <c r="G18" i="156"/>
  <c r="G19" i="232"/>
  <c r="D23" i="228"/>
  <c r="H23" i="228"/>
  <c r="D23" i="156"/>
  <c r="D24" i="232"/>
  <c r="H24" i="232"/>
  <c r="E11" i="156"/>
  <c r="C17" i="228"/>
  <c r="C17" i="156"/>
  <c r="C18" i="232"/>
  <c r="H23" i="232"/>
  <c r="D22" i="228"/>
  <c r="H22" i="228"/>
  <c r="D22" i="156"/>
  <c r="D23" i="232"/>
  <c r="F29" i="232"/>
  <c r="B28" i="228"/>
  <c r="F28" i="228"/>
  <c r="B28" i="156"/>
  <c r="B29" i="232"/>
  <c r="E10" i="156"/>
  <c r="E9" i="156"/>
  <c r="K22" i="164"/>
  <c r="K21" i="164"/>
  <c r="K26" i="164"/>
  <c r="K25" i="164"/>
  <c r="K24" i="164"/>
  <c r="K27" i="164"/>
  <c r="K28" i="164"/>
  <c r="K19" i="164"/>
  <c r="K17" i="164"/>
  <c r="K23" i="164"/>
  <c r="K18" i="164"/>
  <c r="K16" i="164"/>
  <c r="K20" i="164"/>
  <c r="C40" i="156" l="1"/>
  <c r="D40" i="156"/>
  <c r="D41" i="156"/>
  <c r="E25" i="156"/>
  <c r="B39" i="156"/>
  <c r="E28" i="156"/>
  <c r="E27" i="156"/>
  <c r="E26" i="156"/>
  <c r="E20" i="156"/>
  <c r="E24" i="156"/>
  <c r="E22" i="156"/>
  <c r="E17" i="156"/>
  <c r="E18" i="156"/>
  <c r="D39" i="156"/>
  <c r="B41" i="156"/>
  <c r="E21" i="156"/>
  <c r="E19" i="156"/>
  <c r="B40" i="156"/>
  <c r="C41" i="156"/>
  <c r="E23" i="156"/>
  <c r="C39" i="156"/>
  <c r="J36" i="232"/>
  <c r="J37" i="232"/>
  <c r="J38" i="232"/>
  <c r="V36" i="232"/>
  <c r="V37" i="232"/>
  <c r="V38" i="232"/>
  <c r="N36" i="232"/>
  <c r="O36" i="232"/>
  <c r="P36" i="232"/>
  <c r="N37" i="232"/>
  <c r="O37" i="232"/>
  <c r="P37" i="232"/>
  <c r="N38" i="232"/>
  <c r="O38" i="232"/>
  <c r="P38" i="232"/>
  <c r="K36" i="232"/>
  <c r="L36" i="232"/>
  <c r="K37" i="232"/>
  <c r="L37" i="232"/>
  <c r="K38" i="232"/>
  <c r="L38" i="232"/>
  <c r="E40" i="156" l="1"/>
  <c r="E45" i="156" s="1"/>
  <c r="E39" i="156"/>
  <c r="E44" i="156" s="1"/>
  <c r="E41" i="156"/>
  <c r="E46" i="156" s="1"/>
  <c r="L35" i="232" l="1"/>
  <c r="J35" i="232"/>
  <c r="K35" i="232"/>
  <c r="N32" i="232"/>
  <c r="O32" i="232"/>
  <c r="P32" i="232"/>
  <c r="L31" i="232"/>
  <c r="J31" i="232"/>
  <c r="K31" i="232"/>
  <c r="V35" i="232"/>
  <c r="V31" i="232"/>
  <c r="V27" i="232"/>
  <c r="V23" i="232"/>
  <c r="V19" i="232"/>
  <c r="V15" i="232"/>
  <c r="V11" i="232"/>
  <c r="N33" i="232"/>
  <c r="O33" i="232"/>
  <c r="P33" i="232"/>
  <c r="K32" i="232"/>
  <c r="L32" i="232"/>
  <c r="J32" i="232"/>
  <c r="V34" i="232"/>
  <c r="V30" i="232"/>
  <c r="V26" i="232"/>
  <c r="V22" i="232"/>
  <c r="V18" i="232"/>
  <c r="V14" i="232"/>
  <c r="V10" i="232"/>
  <c r="D17" i="232"/>
  <c r="B17" i="232"/>
  <c r="C17" i="232"/>
  <c r="O34" i="232"/>
  <c r="P34" i="232"/>
  <c r="N34" i="232"/>
  <c r="J33" i="232"/>
  <c r="L33" i="232"/>
  <c r="K33" i="232"/>
  <c r="V33" i="232"/>
  <c r="V29" i="232"/>
  <c r="V25" i="232"/>
  <c r="V21" i="232"/>
  <c r="V17" i="232"/>
  <c r="V13" i="232"/>
  <c r="V9" i="232"/>
  <c r="P35" i="232"/>
  <c r="N35" i="232"/>
  <c r="O35" i="232"/>
  <c r="J34" i="232"/>
  <c r="K34" i="232"/>
  <c r="L34" i="232"/>
  <c r="P31" i="232"/>
  <c r="N31" i="232"/>
  <c r="O31" i="232"/>
  <c r="J30" i="232"/>
  <c r="K30" i="232"/>
  <c r="L30" i="232"/>
  <c r="V32" i="232"/>
  <c r="V28" i="232"/>
  <c r="V24" i="232"/>
  <c r="V20" i="232"/>
  <c r="V16" i="232"/>
  <c r="V12" i="232"/>
  <c r="O30" i="232" l="1"/>
  <c r="O29" i="232"/>
  <c r="O28" i="232"/>
  <c r="O27" i="232"/>
  <c r="O26" i="232"/>
  <c r="O25" i="232"/>
  <c r="O24" i="232"/>
  <c r="O23" i="232"/>
  <c r="O22" i="232"/>
  <c r="O21" i="232"/>
  <c r="O20" i="232"/>
  <c r="O19" i="232"/>
  <c r="O18" i="232"/>
  <c r="O17" i="232"/>
  <c r="O16" i="232"/>
  <c r="O15" i="232"/>
  <c r="O14" i="232"/>
  <c r="O13" i="232"/>
  <c r="O12" i="232"/>
  <c r="O11" i="232"/>
  <c r="O10" i="232"/>
  <c r="O9" i="232"/>
  <c r="K29" i="232"/>
  <c r="K28" i="232"/>
  <c r="K27" i="232"/>
  <c r="K26" i="232"/>
  <c r="K25" i="232"/>
  <c r="K24" i="232"/>
  <c r="K23" i="232"/>
  <c r="K22" i="232"/>
  <c r="K21" i="232"/>
  <c r="K20" i="232"/>
  <c r="K19" i="232"/>
  <c r="K18" i="232"/>
  <c r="K17" i="232"/>
  <c r="K16" i="232"/>
  <c r="K15" i="232"/>
  <c r="K14" i="232"/>
  <c r="K13" i="232"/>
  <c r="K12" i="232"/>
  <c r="K11" i="232"/>
  <c r="K10" i="232"/>
  <c r="K9" i="232"/>
  <c r="G18" i="232"/>
  <c r="G17" i="232"/>
  <c r="G16" i="232"/>
  <c r="G15" i="232"/>
  <c r="G14" i="232"/>
  <c r="G13" i="232"/>
  <c r="G12" i="232"/>
  <c r="G11" i="232"/>
  <c r="G10" i="232"/>
  <c r="G9" i="232"/>
  <c r="X38" i="232"/>
  <c r="X37" i="232"/>
  <c r="X36" i="232"/>
  <c r="X35" i="232"/>
  <c r="X34" i="232"/>
  <c r="X33" i="232"/>
  <c r="X32" i="232"/>
  <c r="X31" i="232"/>
  <c r="X30" i="232"/>
  <c r="X29" i="232"/>
  <c r="X28" i="232"/>
  <c r="X27" i="232"/>
  <c r="X26" i="232"/>
  <c r="X25" i="232"/>
  <c r="X24" i="232"/>
  <c r="X23" i="232"/>
  <c r="X22" i="232"/>
  <c r="X21" i="232"/>
  <c r="X20" i="232"/>
  <c r="X19" i="232"/>
  <c r="X18" i="232"/>
  <c r="X17" i="232"/>
  <c r="X16" i="232"/>
  <c r="X15" i="232"/>
  <c r="X14" i="232"/>
  <c r="X13" i="232"/>
  <c r="X12" i="232"/>
  <c r="X11" i="232"/>
  <c r="X10" i="232"/>
  <c r="X9" i="232"/>
  <c r="P30" i="232"/>
  <c r="P29" i="232"/>
  <c r="P28" i="232"/>
  <c r="P27" i="232"/>
  <c r="P26" i="232"/>
  <c r="P25" i="232"/>
  <c r="P24" i="232"/>
  <c r="P23" i="232"/>
  <c r="P22" i="232"/>
  <c r="P21" i="232"/>
  <c r="P20" i="232"/>
  <c r="P19" i="232"/>
  <c r="P18" i="232"/>
  <c r="P17" i="232"/>
  <c r="P16" i="232"/>
  <c r="P15" i="232"/>
  <c r="P14" i="232"/>
  <c r="P13" i="232"/>
  <c r="P12" i="232"/>
  <c r="P11" i="232"/>
  <c r="P10" i="232"/>
  <c r="P9" i="232"/>
  <c r="L29" i="232"/>
  <c r="L28" i="232"/>
  <c r="L27" i="232"/>
  <c r="L26" i="232"/>
  <c r="L25" i="232"/>
  <c r="L24" i="232"/>
  <c r="L23" i="232"/>
  <c r="L22" i="232"/>
  <c r="L21" i="232"/>
  <c r="L20" i="232"/>
  <c r="L19" i="232"/>
  <c r="L18" i="232"/>
  <c r="L17" i="232"/>
  <c r="L16" i="232"/>
  <c r="L15" i="232"/>
  <c r="L14" i="232"/>
  <c r="L13" i="232"/>
  <c r="L12" i="232"/>
  <c r="L11" i="232"/>
  <c r="L10" i="232"/>
  <c r="L9" i="232"/>
  <c r="H18" i="232"/>
  <c r="H17" i="232"/>
  <c r="H16" i="232"/>
  <c r="H15" i="232"/>
  <c r="H14" i="232"/>
  <c r="H13" i="232"/>
  <c r="H12" i="232"/>
  <c r="H11" i="232"/>
  <c r="H10" i="232"/>
  <c r="H9" i="232"/>
  <c r="D16" i="232"/>
  <c r="D15" i="232"/>
  <c r="D14" i="232"/>
  <c r="D13" i="232"/>
  <c r="D12" i="232"/>
  <c r="D11" i="232"/>
  <c r="D10" i="232"/>
  <c r="D9" i="232"/>
  <c r="C16" i="232"/>
  <c r="C15" i="232"/>
  <c r="C14" i="232"/>
  <c r="C13" i="232"/>
  <c r="C12" i="232"/>
  <c r="C11" i="232"/>
  <c r="C10" i="232"/>
  <c r="C9" i="232"/>
  <c r="N30" i="232"/>
  <c r="N29" i="232"/>
  <c r="N28" i="232"/>
  <c r="N27" i="232"/>
  <c r="N26" i="232"/>
  <c r="N25" i="232"/>
  <c r="N24" i="232"/>
  <c r="N23" i="232"/>
  <c r="N22" i="232"/>
  <c r="N21" i="232"/>
  <c r="N20" i="232"/>
  <c r="N19" i="232"/>
  <c r="N18" i="232"/>
  <c r="N17" i="232"/>
  <c r="N16" i="232"/>
  <c r="N15" i="232"/>
  <c r="N14" i="232"/>
  <c r="N13" i="232"/>
  <c r="N12" i="232"/>
  <c r="N11" i="232"/>
  <c r="N10" i="232"/>
  <c r="N9" i="232"/>
  <c r="J29" i="232"/>
  <c r="J28" i="232"/>
  <c r="J27" i="232"/>
  <c r="J26" i="232"/>
  <c r="J25" i="232"/>
  <c r="J24" i="232"/>
  <c r="J23" i="232"/>
  <c r="J22" i="232"/>
  <c r="J21" i="232"/>
  <c r="J20" i="232"/>
  <c r="J19" i="232"/>
  <c r="J18" i="232"/>
  <c r="J17" i="232"/>
  <c r="J16" i="232"/>
  <c r="J15" i="232"/>
  <c r="J14" i="232"/>
  <c r="J13" i="232"/>
  <c r="J12" i="232"/>
  <c r="J11" i="232"/>
  <c r="J10" i="232"/>
  <c r="J7" i="232"/>
  <c r="F18" i="232"/>
  <c r="F17" i="232"/>
  <c r="F16" i="232"/>
  <c r="F15" i="232"/>
  <c r="F14" i="232"/>
  <c r="F13" i="232"/>
  <c r="F12" i="232"/>
  <c r="F11" i="232"/>
  <c r="F10" i="232"/>
  <c r="F9" i="232"/>
  <c r="B16" i="232"/>
  <c r="B15" i="232"/>
  <c r="B14" i="232"/>
  <c r="B13" i="232"/>
  <c r="B12" i="232"/>
  <c r="B11" i="232"/>
  <c r="B10" i="232"/>
  <c r="B9" i="232"/>
  <c r="AG17" i="8"/>
  <c r="AF17" i="8"/>
  <c r="AG16" i="8"/>
  <c r="AF16" i="8"/>
  <c r="AG15" i="8"/>
  <c r="AF15" i="8"/>
  <c r="AD15" i="8"/>
  <c r="AG14" i="8"/>
  <c r="AF14" i="8"/>
  <c r="AE14" i="8"/>
  <c r="AD14" i="8"/>
  <c r="AG13" i="8"/>
  <c r="AF13" i="8"/>
  <c r="AE13" i="8"/>
  <c r="AD13" i="8"/>
  <c r="AG12" i="8"/>
  <c r="AF12" i="8"/>
  <c r="AE12" i="8"/>
  <c r="AD12" i="8"/>
  <c r="AG11" i="8"/>
  <c r="AF11" i="8"/>
  <c r="AE11" i="8"/>
  <c r="AD11" i="8"/>
  <c r="AG10" i="8"/>
  <c r="AF10" i="8"/>
  <c r="AE10" i="8"/>
  <c r="AD10" i="8"/>
  <c r="AG9" i="8"/>
  <c r="AF9" i="8"/>
  <c r="AE9" i="8"/>
  <c r="AD9" i="8"/>
  <c r="AG8" i="8"/>
  <c r="AF8" i="8"/>
  <c r="AE8" i="8"/>
  <c r="AD8" i="8"/>
  <c r="W11" i="232" l="1"/>
  <c r="W15" i="232"/>
  <c r="W19" i="232"/>
  <c r="W23" i="232"/>
  <c r="W27" i="232"/>
  <c r="W31" i="232"/>
  <c r="W35" i="232"/>
  <c r="J9" i="232"/>
  <c r="J8" i="232"/>
  <c r="W12" i="232"/>
  <c r="W16" i="232"/>
  <c r="W20" i="232"/>
  <c r="W24" i="232"/>
  <c r="W28" i="232"/>
  <c r="W32" i="232"/>
  <c r="W36" i="232"/>
  <c r="W9" i="232"/>
  <c r="W13" i="232"/>
  <c r="W17" i="232"/>
  <c r="W21" i="232"/>
  <c r="W25" i="232"/>
  <c r="W29" i="232"/>
  <c r="W33" i="232"/>
  <c r="W37" i="232"/>
  <c r="W10" i="232"/>
  <c r="W14" i="232"/>
  <c r="W18" i="232"/>
  <c r="W22" i="232"/>
  <c r="W26" i="232"/>
  <c r="W30" i="232"/>
  <c r="W34" i="232"/>
  <c r="W38" i="232"/>
  <c r="O12" i="50" l="1"/>
  <c r="O13" i="50"/>
  <c r="O14" i="50"/>
  <c r="O15" i="50"/>
  <c r="P15" i="50"/>
  <c r="O16" i="50"/>
  <c r="P16" i="50"/>
  <c r="O17" i="50"/>
  <c r="P17" i="50"/>
  <c r="O18" i="50"/>
  <c r="P18" i="50"/>
  <c r="O19" i="50"/>
  <c r="P19" i="50"/>
  <c r="O20" i="50"/>
  <c r="P20" i="50"/>
  <c r="O21" i="50"/>
  <c r="P21" i="50"/>
  <c r="O22" i="50"/>
  <c r="P22" i="50"/>
  <c r="O23" i="50"/>
  <c r="P23" i="50"/>
  <c r="O24" i="50"/>
  <c r="P24" i="50"/>
  <c r="O25" i="50"/>
  <c r="P25" i="50"/>
  <c r="O26" i="50"/>
  <c r="P26" i="50"/>
  <c r="O27" i="50"/>
  <c r="P27" i="50"/>
  <c r="Q27" i="50"/>
  <c r="O28" i="50"/>
  <c r="P28" i="50"/>
  <c r="Q28" i="50"/>
  <c r="O29" i="50"/>
  <c r="P29" i="50"/>
  <c r="Q29" i="50"/>
  <c r="O30" i="50"/>
  <c r="P30" i="50"/>
  <c r="Q30" i="50"/>
  <c r="O31" i="50"/>
  <c r="P31" i="50"/>
  <c r="Q31" i="50"/>
  <c r="O32" i="50"/>
  <c r="P32" i="50"/>
  <c r="Q32" i="50"/>
  <c r="O33" i="50"/>
  <c r="P33" i="50"/>
  <c r="Q33" i="50"/>
  <c r="O34" i="50"/>
  <c r="P34" i="50"/>
  <c r="Q34" i="50"/>
  <c r="O35" i="50"/>
  <c r="P35" i="50"/>
  <c r="Q35" i="50"/>
  <c r="O36" i="50"/>
  <c r="P36" i="50"/>
  <c r="Q36" i="50"/>
  <c r="O37" i="50"/>
  <c r="P37" i="50"/>
  <c r="Q37" i="50"/>
  <c r="N8" i="50"/>
  <c r="N9" i="50"/>
  <c r="N10" i="50"/>
  <c r="N11" i="50"/>
  <c r="N12" i="50"/>
  <c r="N13" i="50"/>
  <c r="N14" i="50"/>
  <c r="N15" i="50"/>
  <c r="N16" i="50"/>
  <c r="N17" i="50"/>
  <c r="N18" i="50"/>
  <c r="N19" i="50"/>
  <c r="N20" i="50"/>
  <c r="N21" i="50"/>
  <c r="N22" i="50"/>
  <c r="N23" i="50"/>
  <c r="N24" i="50"/>
  <c r="N25" i="50"/>
  <c r="N26" i="50"/>
  <c r="N27" i="50"/>
  <c r="N28" i="50"/>
  <c r="N29" i="50"/>
  <c r="N30" i="50"/>
  <c r="N31" i="50"/>
  <c r="N32" i="50"/>
  <c r="N33" i="50"/>
  <c r="N34" i="50"/>
  <c r="N35" i="50"/>
  <c r="M36" i="50"/>
  <c r="N36" i="50"/>
  <c r="M37" i="50"/>
  <c r="N37" i="50"/>
  <c r="N7" i="50"/>
  <c r="Y38" i="232"/>
  <c r="W7" i="232"/>
  <c r="X7" i="232"/>
  <c r="W8" i="232"/>
  <c r="X8" i="232"/>
  <c r="Y37" i="232"/>
  <c r="V8" i="232"/>
  <c r="Y9" i="232"/>
  <c r="Y13" i="232"/>
  <c r="Y15" i="232"/>
  <c r="Y17" i="232"/>
  <c r="Y19" i="232"/>
  <c r="Y21" i="232"/>
  <c r="Y23" i="232"/>
  <c r="Y25" i="232"/>
  <c r="Y27" i="232"/>
  <c r="Y29" i="232"/>
  <c r="Y31" i="232"/>
  <c r="Y33" i="232"/>
  <c r="Y35" i="232"/>
  <c r="V7" i="232"/>
  <c r="N8" i="232"/>
  <c r="O8" i="232"/>
  <c r="P8" i="232"/>
  <c r="Q36" i="232"/>
  <c r="Q37" i="232"/>
  <c r="Q38" i="232"/>
  <c r="P7" i="232"/>
  <c r="O7" i="232"/>
  <c r="N7" i="232"/>
  <c r="K8" i="232"/>
  <c r="L8" i="232"/>
  <c r="M11" i="232"/>
  <c r="M15" i="232"/>
  <c r="M19" i="232"/>
  <c r="M23" i="232"/>
  <c r="M27" i="232"/>
  <c r="M31" i="232"/>
  <c r="M35" i="232"/>
  <c r="M36" i="232"/>
  <c r="M37" i="232"/>
  <c r="M38" i="232"/>
  <c r="L7" i="232"/>
  <c r="K7" i="232"/>
  <c r="F8" i="232"/>
  <c r="G8" i="232"/>
  <c r="H8" i="232"/>
  <c r="I36" i="232"/>
  <c r="I37" i="232"/>
  <c r="I38" i="232"/>
  <c r="H7" i="232"/>
  <c r="G7" i="232"/>
  <c r="F7" i="232"/>
  <c r="E36" i="232"/>
  <c r="E37" i="232"/>
  <c r="E38" i="232"/>
  <c r="D8" i="232"/>
  <c r="D7" i="232"/>
  <c r="C8" i="232"/>
  <c r="C7" i="232"/>
  <c r="B8" i="232"/>
  <c r="E9" i="232"/>
  <c r="E10" i="232"/>
  <c r="E11" i="232"/>
  <c r="E13" i="232"/>
  <c r="E15" i="232"/>
  <c r="E16" i="232"/>
  <c r="E17" i="232"/>
  <c r="E18" i="232"/>
  <c r="E19" i="232"/>
  <c r="E20" i="232"/>
  <c r="E21" i="232"/>
  <c r="E22" i="232"/>
  <c r="E23" i="232"/>
  <c r="E24" i="232"/>
  <c r="E25" i="232"/>
  <c r="E26" i="232"/>
  <c r="E27" i="232"/>
  <c r="E28" i="232"/>
  <c r="E29" i="232"/>
  <c r="E30" i="232"/>
  <c r="E31" i="232"/>
  <c r="E32" i="232"/>
  <c r="E33" i="232"/>
  <c r="E34" i="232"/>
  <c r="E35" i="232"/>
  <c r="B7" i="232"/>
  <c r="R37" i="50" l="1"/>
  <c r="R36" i="50"/>
  <c r="E8" i="232"/>
  <c r="I7" i="232"/>
  <c r="I35" i="232"/>
  <c r="I31" i="232"/>
  <c r="I23" i="232"/>
  <c r="I11" i="232"/>
  <c r="Y30" i="232"/>
  <c r="Y22" i="232"/>
  <c r="Y10" i="232"/>
  <c r="Q7" i="232"/>
  <c r="I27" i="232"/>
  <c r="I19" i="232"/>
  <c r="I15" i="232"/>
  <c r="Y26" i="232"/>
  <c r="Y18" i="232"/>
  <c r="M7" i="232"/>
  <c r="Q35" i="232"/>
  <c r="Q31" i="232"/>
  <c r="Q27" i="232"/>
  <c r="Q23" i="232"/>
  <c r="Q19" i="232"/>
  <c r="Q15" i="232"/>
  <c r="Q11" i="232"/>
  <c r="Y32" i="232"/>
  <c r="Y28" i="232"/>
  <c r="Y24" i="232"/>
  <c r="Y20" i="232"/>
  <c r="Y16" i="232"/>
  <c r="Y12" i="232"/>
  <c r="Y8" i="232"/>
  <c r="I34" i="232"/>
  <c r="I30" i="232"/>
  <c r="I26" i="232"/>
  <c r="I22" i="232"/>
  <c r="I18" i="232"/>
  <c r="I10" i="232"/>
  <c r="M34" i="232"/>
  <c r="M30" i="232"/>
  <c r="M26" i="232"/>
  <c r="M22" i="232"/>
  <c r="M18" i="232"/>
  <c r="M10" i="232"/>
  <c r="Q34" i="232"/>
  <c r="Q30" i="232"/>
  <c r="Q26" i="232"/>
  <c r="Q22" i="232"/>
  <c r="Q18" i="232"/>
  <c r="Q10" i="232"/>
  <c r="I32" i="232"/>
  <c r="I28" i="232"/>
  <c r="I24" i="232"/>
  <c r="I20" i="232"/>
  <c r="I16" i="232"/>
  <c r="I8" i="232"/>
  <c r="M32" i="232"/>
  <c r="M28" i="232"/>
  <c r="M24" i="232"/>
  <c r="M20" i="232"/>
  <c r="M16" i="232"/>
  <c r="M8" i="232"/>
  <c r="Q32" i="232"/>
  <c r="Q28" i="232"/>
  <c r="Q24" i="232"/>
  <c r="Q20" i="232"/>
  <c r="Q16" i="232"/>
  <c r="Q8" i="232"/>
  <c r="V42" i="232"/>
  <c r="I33" i="232"/>
  <c r="I29" i="232"/>
  <c r="I25" i="232"/>
  <c r="I21" i="232"/>
  <c r="I17" i="232"/>
  <c r="I13" i="232"/>
  <c r="M33" i="232"/>
  <c r="M29" i="232"/>
  <c r="M25" i="232"/>
  <c r="M21" i="232"/>
  <c r="M17" i="232"/>
  <c r="M13" i="232"/>
  <c r="Q33" i="232"/>
  <c r="Q29" i="232"/>
  <c r="Q25" i="232"/>
  <c r="Q21" i="232"/>
  <c r="Q17" i="232"/>
  <c r="Q13" i="232"/>
  <c r="Q12" i="232"/>
  <c r="I9" i="232"/>
  <c r="M9" i="232"/>
  <c r="Q9" i="232"/>
  <c r="V41" i="232"/>
  <c r="Y7" i="232"/>
  <c r="Y11" i="232"/>
  <c r="I12" i="232"/>
  <c r="M12" i="232"/>
  <c r="I14" i="232"/>
  <c r="M14" i="232"/>
  <c r="Q14" i="232"/>
  <c r="Y34" i="232"/>
  <c r="V44" i="232"/>
  <c r="Y36" i="232"/>
  <c r="V40" i="232"/>
  <c r="E12" i="232"/>
  <c r="E7" i="232"/>
  <c r="Y14" i="232"/>
  <c r="V43" i="232"/>
  <c r="E14" i="232"/>
  <c r="N39" i="50"/>
  <c r="Q17" i="50" l="1"/>
  <c r="Q18" i="50"/>
  <c r="Q19" i="50"/>
  <c r="Q20" i="50"/>
  <c r="Q21" i="50"/>
  <c r="Q22" i="50"/>
  <c r="Q23" i="50"/>
  <c r="Q24" i="50"/>
  <c r="Q25" i="50"/>
  <c r="Q26" i="50"/>
  <c r="M35" i="50"/>
  <c r="R35" i="50" s="1"/>
  <c r="M33" i="50"/>
  <c r="R33" i="50" s="1"/>
  <c r="M23" i="50"/>
  <c r="M24" i="50"/>
  <c r="M25" i="50"/>
  <c r="M26" i="50"/>
  <c r="M27" i="50"/>
  <c r="R27" i="50" s="1"/>
  <c r="M28" i="50"/>
  <c r="R28" i="50" s="1"/>
  <c r="M29" i="50"/>
  <c r="R29" i="50" s="1"/>
  <c r="M30" i="50"/>
  <c r="R30" i="50" s="1"/>
  <c r="M31" i="50"/>
  <c r="R31" i="50" s="1"/>
  <c r="M32" i="50"/>
  <c r="R32" i="50" s="1"/>
  <c r="M34" i="50"/>
  <c r="R34" i="50" s="1"/>
  <c r="R25" i="50" l="1"/>
  <c r="R24" i="50"/>
  <c r="R23" i="50"/>
  <c r="R26" i="50"/>
  <c r="A16" i="234" l="1"/>
  <c r="A16" i="233"/>
  <c r="T38" i="232"/>
  <c r="AB38" i="232" s="1"/>
  <c r="S38" i="232"/>
  <c r="AA38" i="232" s="1"/>
  <c r="R38" i="232"/>
  <c r="T37" i="232"/>
  <c r="AB37" i="232" s="1"/>
  <c r="S37" i="232"/>
  <c r="AA37" i="232" s="1"/>
  <c r="R37" i="232"/>
  <c r="T36" i="232"/>
  <c r="AB36" i="232" s="1"/>
  <c r="S36" i="232"/>
  <c r="AA36" i="232" s="1"/>
  <c r="R36" i="232"/>
  <c r="T35" i="232"/>
  <c r="AB35" i="232" s="1"/>
  <c r="S35" i="232"/>
  <c r="AA35" i="232" s="1"/>
  <c r="R35" i="232"/>
  <c r="T34" i="232"/>
  <c r="AB34" i="232" s="1"/>
  <c r="S34" i="232"/>
  <c r="AA34" i="232" s="1"/>
  <c r="R34" i="232"/>
  <c r="T33" i="232"/>
  <c r="AB33" i="232" s="1"/>
  <c r="S33" i="232"/>
  <c r="AA33" i="232" s="1"/>
  <c r="R33" i="232"/>
  <c r="T32" i="232"/>
  <c r="AB32" i="232" s="1"/>
  <c r="S32" i="232"/>
  <c r="AA32" i="232" s="1"/>
  <c r="R32" i="232"/>
  <c r="T31" i="232"/>
  <c r="AB31" i="232" s="1"/>
  <c r="S31" i="232"/>
  <c r="AA31" i="232" s="1"/>
  <c r="R31" i="232"/>
  <c r="T30" i="232"/>
  <c r="AB30" i="232" s="1"/>
  <c r="S30" i="232"/>
  <c r="AA30" i="232" s="1"/>
  <c r="R30" i="232"/>
  <c r="T29" i="232"/>
  <c r="AB29" i="232" s="1"/>
  <c r="S29" i="232"/>
  <c r="AA29" i="232" s="1"/>
  <c r="R29" i="232"/>
  <c r="T28" i="232"/>
  <c r="AB28" i="232" s="1"/>
  <c r="S28" i="232"/>
  <c r="AA28" i="232" s="1"/>
  <c r="R28" i="232"/>
  <c r="T27" i="232"/>
  <c r="AB27" i="232" s="1"/>
  <c r="S27" i="232"/>
  <c r="AA27" i="232" s="1"/>
  <c r="R27" i="232"/>
  <c r="T26" i="232"/>
  <c r="AB26" i="232" s="1"/>
  <c r="S26" i="232"/>
  <c r="AA26" i="232" s="1"/>
  <c r="R26" i="232"/>
  <c r="T25" i="232"/>
  <c r="AB25" i="232" s="1"/>
  <c r="S25" i="232"/>
  <c r="AA25" i="232" s="1"/>
  <c r="R25" i="232"/>
  <c r="T24" i="232"/>
  <c r="AB24" i="232" s="1"/>
  <c r="S24" i="232"/>
  <c r="AA24" i="232" s="1"/>
  <c r="R24" i="232"/>
  <c r="T23" i="232"/>
  <c r="AB23" i="232" s="1"/>
  <c r="S23" i="232"/>
  <c r="AA23" i="232" s="1"/>
  <c r="R23" i="232"/>
  <c r="T22" i="232"/>
  <c r="AB22" i="232" s="1"/>
  <c r="S22" i="232"/>
  <c r="AA22" i="232" s="1"/>
  <c r="R22" i="232"/>
  <c r="T21" i="232"/>
  <c r="AB21" i="232" s="1"/>
  <c r="S21" i="232"/>
  <c r="AA21" i="232" s="1"/>
  <c r="R21" i="232"/>
  <c r="T20" i="232"/>
  <c r="AB20" i="232" s="1"/>
  <c r="S20" i="232"/>
  <c r="AA20" i="232" s="1"/>
  <c r="R20" i="232"/>
  <c r="T19" i="232"/>
  <c r="AB19" i="232" s="1"/>
  <c r="S19" i="232"/>
  <c r="AA19" i="232" s="1"/>
  <c r="R19" i="232"/>
  <c r="T18" i="232"/>
  <c r="AB18" i="232" s="1"/>
  <c r="R18" i="232"/>
  <c r="T17" i="232"/>
  <c r="AB17" i="232" s="1"/>
  <c r="S17" i="232"/>
  <c r="AA17" i="232" s="1"/>
  <c r="R17" i="232"/>
  <c r="T16" i="232"/>
  <c r="AB16" i="232" s="1"/>
  <c r="S16" i="232"/>
  <c r="AA16" i="232" s="1"/>
  <c r="R16" i="232"/>
  <c r="Z38" i="232" l="1"/>
  <c r="AC38" i="232" s="1"/>
  <c r="U38" i="232"/>
  <c r="Z37" i="232"/>
  <c r="AC37" i="232" s="1"/>
  <c r="U37" i="232"/>
  <c r="Z36" i="232"/>
  <c r="U36" i="232"/>
  <c r="Z21" i="232"/>
  <c r="Z25" i="232"/>
  <c r="U25" i="232"/>
  <c r="Z29" i="232"/>
  <c r="AC29" i="232" s="1"/>
  <c r="U29" i="232"/>
  <c r="Z33" i="232"/>
  <c r="AC33" i="232" s="1"/>
  <c r="U33" i="232"/>
  <c r="Z22" i="232"/>
  <c r="Z26" i="232"/>
  <c r="U26" i="232"/>
  <c r="Z20" i="232"/>
  <c r="Z24" i="232"/>
  <c r="AC24" i="232" s="1"/>
  <c r="U24" i="232"/>
  <c r="Z28" i="232"/>
  <c r="AC28" i="232" s="1"/>
  <c r="U28" i="232"/>
  <c r="Z32" i="232"/>
  <c r="AC32" i="232" s="1"/>
  <c r="U32" i="232"/>
  <c r="Z30" i="232"/>
  <c r="AC30" i="232" s="1"/>
  <c r="U30" i="232"/>
  <c r="Z34" i="232"/>
  <c r="AC34" i="232" s="1"/>
  <c r="U34" i="232"/>
  <c r="Z19" i="232"/>
  <c r="Z23" i="232"/>
  <c r="AC23" i="232" s="1"/>
  <c r="U23" i="232"/>
  <c r="Z27" i="232"/>
  <c r="AC27" i="232" s="1"/>
  <c r="U27" i="232"/>
  <c r="Z31" i="232"/>
  <c r="AC31" i="232" s="1"/>
  <c r="U31" i="232"/>
  <c r="Z35" i="232"/>
  <c r="U35" i="232"/>
  <c r="AC36" i="232"/>
  <c r="T13" i="232"/>
  <c r="AB13" i="232" s="1"/>
  <c r="S15" i="232"/>
  <c r="AA15" i="232" s="1"/>
  <c r="S8" i="232"/>
  <c r="AA8" i="232" s="1"/>
  <c r="R15" i="232"/>
  <c r="R8" i="232"/>
  <c r="T10" i="232"/>
  <c r="AB10" i="232" s="1"/>
  <c r="S13" i="232"/>
  <c r="AA13" i="232" s="1"/>
  <c r="T14" i="232"/>
  <c r="S7" i="232"/>
  <c r="T8" i="232"/>
  <c r="AB8" i="232" s="1"/>
  <c r="S11" i="232"/>
  <c r="AA11" i="232" s="1"/>
  <c r="S14" i="232"/>
  <c r="T15" i="232"/>
  <c r="AB15" i="232" s="1"/>
  <c r="S10" i="232"/>
  <c r="AA10" i="232" s="1"/>
  <c r="T11" i="232"/>
  <c r="AB11" i="232" s="1"/>
  <c r="T9" i="232"/>
  <c r="R10" i="232"/>
  <c r="R14" i="232"/>
  <c r="R13" i="232"/>
  <c r="T7" i="232"/>
  <c r="S18" i="232"/>
  <c r="AA18" i="232" s="1"/>
  <c r="R11" i="232"/>
  <c r="Z17" i="232"/>
  <c r="S9" i="232"/>
  <c r="S12" i="232"/>
  <c r="T12" i="232"/>
  <c r="Z18" i="232"/>
  <c r="R7" i="232"/>
  <c r="R9" i="232"/>
  <c r="R12" i="232"/>
  <c r="Z16" i="232"/>
  <c r="B14" i="244" l="1"/>
  <c r="AA7" i="232"/>
  <c r="Z8" i="232"/>
  <c r="AA14" i="232"/>
  <c r="AB14" i="232"/>
  <c r="Z15" i="232"/>
  <c r="Z14" i="232"/>
  <c r="Z11" i="232"/>
  <c r="AB7" i="232"/>
  <c r="AB9" i="232"/>
  <c r="AA12" i="232"/>
  <c r="Z12" i="232"/>
  <c r="Z7" i="232"/>
  <c r="Z13" i="232"/>
  <c r="Z10" i="232"/>
  <c r="Z9" i="232"/>
  <c r="AB12" i="232"/>
  <c r="AA9" i="232"/>
  <c r="Q13" i="50" l="1"/>
  <c r="Q14" i="50"/>
  <c r="Q16" i="50"/>
  <c r="E43" i="8"/>
  <c r="E45" i="8"/>
  <c r="D45" i="8"/>
  <c r="C45" i="8"/>
  <c r="B45" i="8"/>
  <c r="E44" i="8"/>
  <c r="D44" i="8"/>
  <c r="C44" i="8"/>
  <c r="B44" i="8"/>
  <c r="D43" i="8"/>
  <c r="C43" i="8"/>
  <c r="B43" i="8"/>
  <c r="D42" i="8"/>
  <c r="C42" i="8"/>
  <c r="B42" i="8"/>
  <c r="D41" i="8"/>
  <c r="C41" i="8"/>
  <c r="B41" i="8"/>
  <c r="F17" i="8"/>
  <c r="AC25" i="232"/>
  <c r="AC26" i="232"/>
  <c r="AC35" i="232"/>
  <c r="D51" i="8" l="1"/>
  <c r="G51" i="8"/>
  <c r="B51" i="8"/>
  <c r="C51" i="8"/>
  <c r="D40" i="232"/>
  <c r="B40" i="232"/>
  <c r="C40" i="232"/>
  <c r="C42" i="232"/>
  <c r="B42" i="232"/>
  <c r="D42" i="232"/>
  <c r="Q18" i="143"/>
  <c r="W43" i="232"/>
  <c r="X43" i="232"/>
  <c r="Q12" i="50"/>
  <c r="AC22" i="232"/>
  <c r="M22" i="50"/>
  <c r="R22" i="50" s="1"/>
  <c r="U22" i="232"/>
  <c r="AC18" i="232"/>
  <c r="M18" i="50"/>
  <c r="R18" i="50" s="1"/>
  <c r="U18" i="232"/>
  <c r="H40" i="232"/>
  <c r="F40" i="232"/>
  <c r="G40" i="232"/>
  <c r="G41" i="232"/>
  <c r="H41" i="232"/>
  <c r="F41" i="232"/>
  <c r="H42" i="232"/>
  <c r="F42" i="232"/>
  <c r="G42" i="232"/>
  <c r="F43" i="232"/>
  <c r="G43" i="232"/>
  <c r="H43" i="232"/>
  <c r="C44" i="232"/>
  <c r="D44" i="232"/>
  <c r="B44" i="232"/>
  <c r="Q19" i="143"/>
  <c r="W44" i="232"/>
  <c r="X44" i="232"/>
  <c r="AC19" i="232"/>
  <c r="M19" i="50"/>
  <c r="R19" i="50" s="1"/>
  <c r="U19" i="232"/>
  <c r="P44" i="232"/>
  <c r="N44" i="232"/>
  <c r="O44" i="232"/>
  <c r="K40" i="232"/>
  <c r="L40" i="232"/>
  <c r="J40" i="232"/>
  <c r="J41" i="232"/>
  <c r="K41" i="232"/>
  <c r="L41" i="232"/>
  <c r="L42" i="232"/>
  <c r="J42" i="232"/>
  <c r="K42" i="232"/>
  <c r="L43" i="232"/>
  <c r="J43" i="232"/>
  <c r="K43" i="232"/>
  <c r="H44" i="232"/>
  <c r="F44" i="232"/>
  <c r="G44" i="232"/>
  <c r="P42" i="232"/>
  <c r="O42" i="232"/>
  <c r="N42" i="232"/>
  <c r="C41" i="232"/>
  <c r="D41" i="232"/>
  <c r="B41" i="232"/>
  <c r="B43" i="232"/>
  <c r="C43" i="232"/>
  <c r="D43" i="232"/>
  <c r="AC21" i="232"/>
  <c r="M21" i="50"/>
  <c r="R21" i="50" s="1"/>
  <c r="U21" i="232"/>
  <c r="AC17" i="232"/>
  <c r="M17" i="50"/>
  <c r="R17" i="50" s="1"/>
  <c r="U17" i="232"/>
  <c r="AC20" i="232"/>
  <c r="M20" i="50"/>
  <c r="R20" i="50" s="1"/>
  <c r="U20" i="232"/>
  <c r="H17" i="8"/>
  <c r="AC16" i="232" s="1"/>
  <c r="M16" i="50"/>
  <c r="R16" i="50" s="1"/>
  <c r="U16" i="232"/>
  <c r="Q20" i="143"/>
  <c r="X40" i="232"/>
  <c r="W40" i="232"/>
  <c r="Q16" i="143"/>
  <c r="X41" i="232"/>
  <c r="W41" i="232"/>
  <c r="Q17" i="143"/>
  <c r="W42" i="232"/>
  <c r="X42" i="232"/>
  <c r="O43" i="232"/>
  <c r="N43" i="232"/>
  <c r="P43" i="232"/>
  <c r="L44" i="232"/>
  <c r="K44" i="232"/>
  <c r="J44" i="232"/>
  <c r="Q15" i="50"/>
  <c r="E42" i="8"/>
  <c r="E41" i="8"/>
  <c r="F16" i="8"/>
  <c r="F12" i="8"/>
  <c r="F8" i="8"/>
  <c r="F9" i="8"/>
  <c r="F10" i="8"/>
  <c r="F14" i="8"/>
  <c r="F13" i="8"/>
  <c r="F11" i="8"/>
  <c r="F15" i="8"/>
  <c r="E51" i="8" l="1"/>
  <c r="Y43" i="232"/>
  <c r="Y49" i="232" s="1"/>
  <c r="P14" i="50"/>
  <c r="H14" i="8"/>
  <c r="AC13" i="232" s="1"/>
  <c r="M13" i="50"/>
  <c r="U13" i="232"/>
  <c r="H12" i="8"/>
  <c r="AC11" i="232" s="1"/>
  <c r="M11" i="50"/>
  <c r="U11" i="232"/>
  <c r="Y44" i="232"/>
  <c r="Y50" i="232" s="1"/>
  <c r="M12" i="50"/>
  <c r="U12" i="232"/>
  <c r="O41" i="232"/>
  <c r="N41" i="232"/>
  <c r="P41" i="232"/>
  <c r="M14" i="50"/>
  <c r="U14" i="232"/>
  <c r="H16" i="8"/>
  <c r="AC15" i="232" s="1"/>
  <c r="M15" i="50"/>
  <c r="R15" i="50" s="1"/>
  <c r="U15" i="232"/>
  <c r="Y41" i="232"/>
  <c r="Y47" i="232" s="1"/>
  <c r="M7" i="50"/>
  <c r="U7" i="232"/>
  <c r="M9" i="50"/>
  <c r="U9" i="232"/>
  <c r="Y40" i="232"/>
  <c r="Y46" i="232" s="1"/>
  <c r="H11" i="8"/>
  <c r="AC10" i="232" s="1"/>
  <c r="M10" i="50"/>
  <c r="U10" i="232"/>
  <c r="H9" i="8"/>
  <c r="AC8" i="232" s="1"/>
  <c r="M8" i="50"/>
  <c r="U8" i="232"/>
  <c r="P40" i="232"/>
  <c r="N40" i="232"/>
  <c r="O40" i="232"/>
  <c r="Y42" i="232"/>
  <c r="Y48" i="232" s="1"/>
  <c r="I44" i="232"/>
  <c r="I50" i="232" s="1"/>
  <c r="E44" i="232"/>
  <c r="E50" i="232" s="1"/>
  <c r="H15" i="8"/>
  <c r="F45" i="8"/>
  <c r="H13" i="8"/>
  <c r="F44" i="8"/>
  <c r="H10" i="8"/>
  <c r="F43" i="8"/>
  <c r="H8" i="8"/>
  <c r="AC7" i="232" s="1"/>
  <c r="F42" i="8"/>
  <c r="F41" i="8"/>
  <c r="AE8" i="50"/>
  <c r="AE9" i="50"/>
  <c r="AE10" i="50"/>
  <c r="AE11" i="50"/>
  <c r="AE12" i="50"/>
  <c r="AE13" i="50"/>
  <c r="AE14" i="50"/>
  <c r="AE15" i="50"/>
  <c r="AE16" i="50"/>
  <c r="AE17" i="50"/>
  <c r="AE18" i="50"/>
  <c r="AE19" i="50"/>
  <c r="AE20" i="50"/>
  <c r="AE21" i="50"/>
  <c r="AE22" i="50"/>
  <c r="AD23" i="50"/>
  <c r="AE23" i="50"/>
  <c r="AD24" i="50"/>
  <c r="AE24" i="50"/>
  <c r="AD25" i="50"/>
  <c r="AE25" i="50"/>
  <c r="AE26" i="50"/>
  <c r="AD27" i="50"/>
  <c r="AE27" i="50"/>
  <c r="AD28" i="50"/>
  <c r="AE28" i="50"/>
  <c r="AD29" i="50"/>
  <c r="AE29" i="50"/>
  <c r="AD30" i="50"/>
  <c r="AF30" i="50" s="1"/>
  <c r="AE30" i="50"/>
  <c r="AE31" i="50"/>
  <c r="AD32" i="50"/>
  <c r="AE32" i="50"/>
  <c r="AD33" i="50"/>
  <c r="AE33" i="50"/>
  <c r="AD34" i="50"/>
  <c r="AE34" i="50"/>
  <c r="AD35" i="50"/>
  <c r="AE35" i="50"/>
  <c r="AD36" i="50"/>
  <c r="AE36" i="50"/>
  <c r="AD37" i="50"/>
  <c r="AE37" i="50"/>
  <c r="AE7" i="50"/>
  <c r="H14" i="50"/>
  <c r="H15" i="50"/>
  <c r="H16" i="50"/>
  <c r="H18" i="50"/>
  <c r="H19" i="50"/>
  <c r="H20" i="50"/>
  <c r="H21" i="50"/>
  <c r="H22" i="50"/>
  <c r="H23" i="50"/>
  <c r="H24" i="50"/>
  <c r="H25" i="50"/>
  <c r="H26" i="50"/>
  <c r="H27" i="50"/>
  <c r="H28" i="50"/>
  <c r="H29" i="50"/>
  <c r="H30" i="50"/>
  <c r="H31" i="50"/>
  <c r="H32" i="50"/>
  <c r="H33" i="50"/>
  <c r="H34" i="50"/>
  <c r="H35" i="50"/>
  <c r="H36" i="50"/>
  <c r="H37" i="50"/>
  <c r="AF28" i="50" l="1"/>
  <c r="AF29" i="50"/>
  <c r="AF27" i="50"/>
  <c r="AF36" i="50"/>
  <c r="AF34" i="50"/>
  <c r="AF32" i="50"/>
  <c r="AF25" i="50"/>
  <c r="AF23" i="50"/>
  <c r="AF37" i="50"/>
  <c r="AF35" i="50"/>
  <c r="AF33" i="50"/>
  <c r="AF24" i="50"/>
  <c r="R14" i="50"/>
  <c r="F51" i="8"/>
  <c r="O11" i="50"/>
  <c r="Q11" i="143"/>
  <c r="Q24" i="143" s="1"/>
  <c r="R42" i="232"/>
  <c r="C9" i="233" s="1"/>
  <c r="S42" i="232"/>
  <c r="C10" i="233" s="1"/>
  <c r="T42" i="232"/>
  <c r="C11" i="233" s="1"/>
  <c r="Q13" i="143"/>
  <c r="Q26" i="143" s="1"/>
  <c r="R44" i="232"/>
  <c r="E9" i="233" s="1"/>
  <c r="S44" i="232"/>
  <c r="E10" i="233" s="1"/>
  <c r="T44" i="232"/>
  <c r="E11" i="233" s="1"/>
  <c r="M39" i="50"/>
  <c r="H44" i="8"/>
  <c r="AC12" i="232"/>
  <c r="Q14" i="143"/>
  <c r="S40" i="232"/>
  <c r="F10" i="233" s="1"/>
  <c r="R40" i="232"/>
  <c r="F9" i="233" s="1"/>
  <c r="T40" i="232"/>
  <c r="F11" i="233" s="1"/>
  <c r="H43" i="8"/>
  <c r="AC9" i="232"/>
  <c r="H45" i="8"/>
  <c r="AC14" i="232"/>
  <c r="Q10" i="143"/>
  <c r="Q23" i="143" s="1"/>
  <c r="T41" i="232"/>
  <c r="B11" i="233" s="1"/>
  <c r="R41" i="232"/>
  <c r="B9" i="233" s="1"/>
  <c r="S41" i="232"/>
  <c r="B10" i="233" s="1"/>
  <c r="Q12" i="143"/>
  <c r="Q25" i="143" s="1"/>
  <c r="S43" i="232"/>
  <c r="D10" i="233" s="1"/>
  <c r="R43" i="232"/>
  <c r="D9" i="233" s="1"/>
  <c r="T43" i="232"/>
  <c r="D11" i="233" s="1"/>
  <c r="AE39" i="50"/>
  <c r="H42" i="8"/>
  <c r="H41" i="8"/>
  <c r="D24" i="19"/>
  <c r="X8" i="228"/>
  <c r="X9" i="228"/>
  <c r="X10" i="228"/>
  <c r="X11" i="228"/>
  <c r="X12" i="228"/>
  <c r="X13" i="228"/>
  <c r="X14" i="228"/>
  <c r="X15" i="228"/>
  <c r="X16" i="228"/>
  <c r="X17" i="228"/>
  <c r="X18" i="228"/>
  <c r="X19" i="228"/>
  <c r="X20" i="228"/>
  <c r="X21" i="228"/>
  <c r="X22" i="228"/>
  <c r="X23" i="228"/>
  <c r="X24" i="228"/>
  <c r="X25" i="228"/>
  <c r="X26" i="228"/>
  <c r="X27" i="228"/>
  <c r="X28" i="228"/>
  <c r="X29" i="228"/>
  <c r="X30" i="228"/>
  <c r="X31" i="228"/>
  <c r="X32" i="228"/>
  <c r="X33" i="228"/>
  <c r="X34" i="228"/>
  <c r="X35" i="228"/>
  <c r="X36" i="228"/>
  <c r="X37" i="228"/>
  <c r="X7" i="228"/>
  <c r="W8" i="228"/>
  <c r="W9" i="228"/>
  <c r="W10" i="228"/>
  <c r="W11" i="228"/>
  <c r="W12" i="228"/>
  <c r="W13" i="228"/>
  <c r="W14" i="228"/>
  <c r="W15" i="228"/>
  <c r="W16" i="228"/>
  <c r="W17" i="228"/>
  <c r="W18" i="228"/>
  <c r="W19" i="228"/>
  <c r="W20" i="228"/>
  <c r="W21" i="228"/>
  <c r="W22" i="228"/>
  <c r="W23" i="228"/>
  <c r="W24" i="228"/>
  <c r="W25" i="228"/>
  <c r="W26" i="228"/>
  <c r="W27" i="228"/>
  <c r="W28" i="228"/>
  <c r="W29" i="228"/>
  <c r="W30" i="228"/>
  <c r="W31" i="228"/>
  <c r="W32" i="228"/>
  <c r="W33" i="228"/>
  <c r="W34" i="228"/>
  <c r="W35" i="228"/>
  <c r="W36" i="228"/>
  <c r="W37" i="228"/>
  <c r="W7" i="228"/>
  <c r="V8" i="228"/>
  <c r="V9" i="228"/>
  <c r="V10" i="228"/>
  <c r="V11" i="228"/>
  <c r="V12" i="228"/>
  <c r="V13" i="228"/>
  <c r="V14" i="228"/>
  <c r="V15" i="228"/>
  <c r="V16" i="228"/>
  <c r="V17" i="228"/>
  <c r="V18" i="228"/>
  <c r="V19" i="228"/>
  <c r="V20" i="228"/>
  <c r="V21" i="228"/>
  <c r="V22" i="228"/>
  <c r="V23" i="228"/>
  <c r="V24" i="228"/>
  <c r="V25" i="228"/>
  <c r="V26" i="228"/>
  <c r="V27" i="228"/>
  <c r="V28" i="228"/>
  <c r="V29" i="228"/>
  <c r="V30" i="228"/>
  <c r="V31" i="228"/>
  <c r="V32" i="228"/>
  <c r="V33" i="228"/>
  <c r="V34" i="228"/>
  <c r="V35" i="228"/>
  <c r="V36" i="228"/>
  <c r="V37" i="228"/>
  <c r="V7" i="228"/>
  <c r="P8" i="228"/>
  <c r="P9" i="228"/>
  <c r="P10" i="228"/>
  <c r="P11" i="228"/>
  <c r="P12" i="228"/>
  <c r="P13" i="228"/>
  <c r="P14" i="228"/>
  <c r="P15" i="228"/>
  <c r="P16" i="228"/>
  <c r="P17" i="228"/>
  <c r="P18" i="228"/>
  <c r="P19" i="228"/>
  <c r="P20" i="228"/>
  <c r="P21" i="228"/>
  <c r="P22" i="228"/>
  <c r="P23" i="228"/>
  <c r="P24" i="228"/>
  <c r="P25" i="228"/>
  <c r="P26" i="228"/>
  <c r="P27" i="228"/>
  <c r="P28" i="228"/>
  <c r="P29" i="228"/>
  <c r="P30" i="228"/>
  <c r="P31" i="228"/>
  <c r="P32" i="228"/>
  <c r="P33" i="228"/>
  <c r="P34" i="228"/>
  <c r="P35" i="228"/>
  <c r="P36" i="228"/>
  <c r="P37" i="228"/>
  <c r="P7" i="228"/>
  <c r="O8" i="228"/>
  <c r="O9" i="228"/>
  <c r="O10" i="228"/>
  <c r="O11" i="228"/>
  <c r="O12" i="228"/>
  <c r="O13" i="228"/>
  <c r="O14" i="228"/>
  <c r="O15" i="228"/>
  <c r="O16" i="228"/>
  <c r="O17" i="228"/>
  <c r="O18" i="228"/>
  <c r="O19" i="228"/>
  <c r="O20" i="228"/>
  <c r="O21" i="228"/>
  <c r="O22" i="228"/>
  <c r="O23" i="228"/>
  <c r="O24" i="228"/>
  <c r="O25" i="228"/>
  <c r="O26" i="228"/>
  <c r="O27" i="228"/>
  <c r="O28" i="228"/>
  <c r="O29" i="228"/>
  <c r="O30" i="228"/>
  <c r="O31" i="228"/>
  <c r="O32" i="228"/>
  <c r="O33" i="228"/>
  <c r="O34" i="228"/>
  <c r="O35" i="228"/>
  <c r="O36" i="228"/>
  <c r="O37" i="228"/>
  <c r="O7" i="228"/>
  <c r="N8" i="228"/>
  <c r="N9" i="228"/>
  <c r="N10" i="228"/>
  <c r="N11" i="228"/>
  <c r="N12" i="228"/>
  <c r="N13" i="228"/>
  <c r="N14" i="228"/>
  <c r="N15" i="228"/>
  <c r="N16" i="228"/>
  <c r="N17" i="228"/>
  <c r="N18" i="228"/>
  <c r="N19" i="228"/>
  <c r="N20" i="228"/>
  <c r="N21" i="228"/>
  <c r="N22" i="228"/>
  <c r="N23" i="228"/>
  <c r="N24" i="228"/>
  <c r="N25" i="228"/>
  <c r="N26" i="228"/>
  <c r="N27" i="228"/>
  <c r="N28" i="228"/>
  <c r="N29" i="228"/>
  <c r="N30" i="228"/>
  <c r="N31" i="228"/>
  <c r="N32" i="228"/>
  <c r="N33" i="228"/>
  <c r="N34" i="228"/>
  <c r="N35" i="228"/>
  <c r="Q35" i="228" s="1"/>
  <c r="N36" i="228"/>
  <c r="N37" i="228"/>
  <c r="N7" i="228"/>
  <c r="L8" i="228"/>
  <c r="L9" i="228"/>
  <c r="L10" i="228"/>
  <c r="L11" i="228"/>
  <c r="L12" i="228"/>
  <c r="L13" i="228"/>
  <c r="L14" i="228"/>
  <c r="L15" i="228"/>
  <c r="L16" i="228"/>
  <c r="L17" i="228"/>
  <c r="L18" i="228"/>
  <c r="L19" i="228"/>
  <c r="L20" i="228"/>
  <c r="L21" i="228"/>
  <c r="L22" i="228"/>
  <c r="L23" i="228"/>
  <c r="L24" i="228"/>
  <c r="L25" i="228"/>
  <c r="L26" i="228"/>
  <c r="L27" i="228"/>
  <c r="L28" i="228"/>
  <c r="L29" i="228"/>
  <c r="L30" i="228"/>
  <c r="L31" i="228"/>
  <c r="L32" i="228"/>
  <c r="L33" i="228"/>
  <c r="L34" i="228"/>
  <c r="L35" i="228"/>
  <c r="L36" i="228"/>
  <c r="L37" i="228"/>
  <c r="L7" i="228"/>
  <c r="K8" i="228"/>
  <c r="K9" i="228"/>
  <c r="K10" i="228"/>
  <c r="K11" i="228"/>
  <c r="K12" i="228"/>
  <c r="K13" i="228"/>
  <c r="K14" i="228"/>
  <c r="K15" i="228"/>
  <c r="K16" i="228"/>
  <c r="K17" i="228"/>
  <c r="K18" i="228"/>
  <c r="K19" i="228"/>
  <c r="K20" i="228"/>
  <c r="K21" i="228"/>
  <c r="K22" i="228"/>
  <c r="K23" i="228"/>
  <c r="K24" i="228"/>
  <c r="K25" i="228"/>
  <c r="K26" i="228"/>
  <c r="K27" i="228"/>
  <c r="K28" i="228"/>
  <c r="K29" i="228"/>
  <c r="K30" i="228"/>
  <c r="K31" i="228"/>
  <c r="K32" i="228"/>
  <c r="K33" i="228"/>
  <c r="K34" i="228"/>
  <c r="K35" i="228"/>
  <c r="K36" i="228"/>
  <c r="K37" i="228"/>
  <c r="K7" i="228"/>
  <c r="J8" i="228"/>
  <c r="J9" i="228"/>
  <c r="J10" i="228"/>
  <c r="J11" i="228"/>
  <c r="J12" i="228"/>
  <c r="J13" i="228"/>
  <c r="J14" i="228"/>
  <c r="J15" i="228"/>
  <c r="J16" i="228"/>
  <c r="J17" i="228"/>
  <c r="J18" i="228"/>
  <c r="J19" i="228"/>
  <c r="J20" i="228"/>
  <c r="J21" i="228"/>
  <c r="J22" i="228"/>
  <c r="J23" i="228"/>
  <c r="J24" i="228"/>
  <c r="J25" i="228"/>
  <c r="J26" i="228"/>
  <c r="J27" i="228"/>
  <c r="J28" i="228"/>
  <c r="J29" i="228"/>
  <c r="J30" i="228"/>
  <c r="J31" i="228"/>
  <c r="J32" i="228"/>
  <c r="J33" i="228"/>
  <c r="J34" i="228"/>
  <c r="M34" i="228" s="1"/>
  <c r="J35" i="228"/>
  <c r="J36" i="228"/>
  <c r="J37" i="228"/>
  <c r="J7" i="228"/>
  <c r="H8" i="228"/>
  <c r="H9" i="228"/>
  <c r="H10" i="228"/>
  <c r="H11" i="228"/>
  <c r="H12" i="228"/>
  <c r="H13" i="228"/>
  <c r="H14" i="228"/>
  <c r="H15" i="228"/>
  <c r="H16" i="228"/>
  <c r="H17" i="228"/>
  <c r="H7" i="228"/>
  <c r="G8" i="228"/>
  <c r="G9" i="228"/>
  <c r="G10" i="228"/>
  <c r="G11" i="228"/>
  <c r="G12" i="228"/>
  <c r="G13" i="228"/>
  <c r="G14" i="228"/>
  <c r="G15" i="228"/>
  <c r="G16" i="228"/>
  <c r="G17" i="228"/>
  <c r="G7" i="228"/>
  <c r="F8" i="228"/>
  <c r="F9" i="228"/>
  <c r="F10" i="228"/>
  <c r="F11" i="228"/>
  <c r="F12" i="228"/>
  <c r="F13" i="228"/>
  <c r="F14" i="228"/>
  <c r="F15" i="228"/>
  <c r="F16" i="228"/>
  <c r="F17" i="228"/>
  <c r="I33" i="228"/>
  <c r="I34" i="228"/>
  <c r="I37" i="228"/>
  <c r="F7" i="228"/>
  <c r="D8" i="228"/>
  <c r="D9" i="228"/>
  <c r="D10" i="228"/>
  <c r="D11" i="228"/>
  <c r="D12" i="228"/>
  <c r="D13" i="228"/>
  <c r="D14" i="228"/>
  <c r="D15" i="228"/>
  <c r="D16" i="228"/>
  <c r="D7" i="228"/>
  <c r="C8" i="228"/>
  <c r="C9" i="228"/>
  <c r="C10" i="228"/>
  <c r="C11" i="228"/>
  <c r="C12" i="228"/>
  <c r="C13" i="228"/>
  <c r="C14" i="228"/>
  <c r="C15" i="228"/>
  <c r="C16" i="228"/>
  <c r="C7" i="228"/>
  <c r="B8" i="228"/>
  <c r="B9" i="228"/>
  <c r="B10" i="228"/>
  <c r="B11" i="228"/>
  <c r="B12" i="228"/>
  <c r="B13" i="228"/>
  <c r="B14" i="228"/>
  <c r="B15" i="228"/>
  <c r="B16" i="228"/>
  <c r="E32" i="228"/>
  <c r="E33" i="228"/>
  <c r="E36" i="228"/>
  <c r="B7" i="228"/>
  <c r="A15" i="230"/>
  <c r="A15" i="229"/>
  <c r="F8" i="227"/>
  <c r="AD9" i="50" s="1"/>
  <c r="AF9" i="50" s="1"/>
  <c r="AD10" i="50"/>
  <c r="AF10" i="50" s="1"/>
  <c r="AD11" i="50"/>
  <c r="AF11" i="50" s="1"/>
  <c r="AD12" i="50"/>
  <c r="AF12" i="50" s="1"/>
  <c r="AD13" i="50"/>
  <c r="AF13" i="50" s="1"/>
  <c r="AD14" i="50"/>
  <c r="AF14" i="50" s="1"/>
  <c r="AD15" i="50"/>
  <c r="AF15" i="50" s="1"/>
  <c r="AD16" i="50"/>
  <c r="AF16" i="50" s="1"/>
  <c r="AD17" i="50"/>
  <c r="AF17" i="50" s="1"/>
  <c r="AD18" i="50"/>
  <c r="AF18" i="50" s="1"/>
  <c r="AD19" i="50"/>
  <c r="AF19" i="50" s="1"/>
  <c r="F19" i="227"/>
  <c r="AD20" i="50" s="1"/>
  <c r="AF20" i="50" s="1"/>
  <c r="AD21" i="50"/>
  <c r="AF21" i="50" s="1"/>
  <c r="AD22" i="50"/>
  <c r="AF22" i="50" s="1"/>
  <c r="BT11" i="64"/>
  <c r="H17" i="50"/>
  <c r="H13" i="50"/>
  <c r="H12" i="50"/>
  <c r="H11" i="50"/>
  <c r="H10" i="50"/>
  <c r="H9" i="50"/>
  <c r="H8" i="50"/>
  <c r="M35" i="228" l="1"/>
  <c r="Q36" i="228"/>
  <c r="S37" i="228"/>
  <c r="T36" i="228"/>
  <c r="AB36" i="228" s="1"/>
  <c r="Q32" i="228"/>
  <c r="D20" i="233"/>
  <c r="B20" i="233"/>
  <c r="C20" i="233"/>
  <c r="D21" i="233"/>
  <c r="B22" i="233"/>
  <c r="F21" i="233"/>
  <c r="E20" i="233"/>
  <c r="E22" i="233"/>
  <c r="C22" i="233"/>
  <c r="F20" i="233"/>
  <c r="D22" i="233"/>
  <c r="B21" i="233"/>
  <c r="F22" i="233"/>
  <c r="E21" i="233"/>
  <c r="C21" i="233"/>
  <c r="H51" i="8"/>
  <c r="F11" i="234"/>
  <c r="F22" i="234" s="1"/>
  <c r="D11" i="234"/>
  <c r="D22" i="234" s="1"/>
  <c r="B10" i="234"/>
  <c r="B21" i="234" s="1"/>
  <c r="E11" i="234"/>
  <c r="E22" i="234" s="1"/>
  <c r="C11" i="234"/>
  <c r="C22" i="234" s="1"/>
  <c r="F9" i="234"/>
  <c r="F20" i="234" s="1"/>
  <c r="D9" i="234"/>
  <c r="D20" i="234" s="1"/>
  <c r="B9" i="234"/>
  <c r="B20" i="234" s="1"/>
  <c r="F10" i="234"/>
  <c r="F21" i="234" s="1"/>
  <c r="E10" i="234"/>
  <c r="E21" i="234" s="1"/>
  <c r="C10" i="234"/>
  <c r="C21" i="234" s="1"/>
  <c r="D10" i="234"/>
  <c r="D21" i="234" s="1"/>
  <c r="B11" i="234"/>
  <c r="B22" i="234" s="1"/>
  <c r="E9" i="234"/>
  <c r="E20" i="234" s="1"/>
  <c r="C9" i="234"/>
  <c r="C20" i="234" s="1"/>
  <c r="Q27" i="143"/>
  <c r="AA37" i="228"/>
  <c r="Y36" i="228"/>
  <c r="Y32" i="228"/>
  <c r="AD31" i="50"/>
  <c r="AF31" i="50" s="1"/>
  <c r="Z42" i="232"/>
  <c r="M9" i="233" s="1"/>
  <c r="AA42" i="232"/>
  <c r="M10" i="233" s="1"/>
  <c r="AB42" i="232"/>
  <c r="M11" i="233" s="1"/>
  <c r="AD26" i="50"/>
  <c r="AF26" i="50" s="1"/>
  <c r="E29" i="228"/>
  <c r="E25" i="228"/>
  <c r="M27" i="228"/>
  <c r="Y37" i="228"/>
  <c r="Y33" i="228"/>
  <c r="Z40" i="232"/>
  <c r="P9" i="233" s="1"/>
  <c r="AB40" i="232"/>
  <c r="P11" i="233" s="1"/>
  <c r="AA40" i="232"/>
  <c r="P10" i="233" s="1"/>
  <c r="Z43" i="232"/>
  <c r="N9" i="233" s="1"/>
  <c r="AA43" i="232"/>
  <c r="N10" i="233" s="1"/>
  <c r="AB43" i="232"/>
  <c r="N11" i="233" s="1"/>
  <c r="AA41" i="232"/>
  <c r="L10" i="233" s="1"/>
  <c r="AB41" i="232"/>
  <c r="L11" i="233" s="1"/>
  <c r="Z41" i="232"/>
  <c r="L9" i="233" s="1"/>
  <c r="AA44" i="232"/>
  <c r="O10" i="233" s="1"/>
  <c r="AB44" i="232"/>
  <c r="O11" i="233" s="1"/>
  <c r="Z44" i="232"/>
  <c r="O9" i="233" s="1"/>
  <c r="M7" i="228"/>
  <c r="M30" i="228"/>
  <c r="M26" i="228"/>
  <c r="M22" i="228"/>
  <c r="M18" i="228"/>
  <c r="M14" i="228"/>
  <c r="M10" i="228"/>
  <c r="Q27" i="228"/>
  <c r="Q11" i="228"/>
  <c r="E24" i="228"/>
  <c r="T29" i="228"/>
  <c r="AB29" i="228" s="1"/>
  <c r="T20" i="228"/>
  <c r="AB20" i="228" s="1"/>
  <c r="E21" i="228"/>
  <c r="E17" i="228"/>
  <c r="E13" i="228"/>
  <c r="M31" i="228"/>
  <c r="M19" i="228"/>
  <c r="M15" i="228"/>
  <c r="M11" i="228"/>
  <c r="R12" i="228"/>
  <c r="E35" i="228"/>
  <c r="E27" i="228"/>
  <c r="I36" i="228"/>
  <c r="I32" i="228"/>
  <c r="I28" i="228"/>
  <c r="I24" i="228"/>
  <c r="I20" i="228"/>
  <c r="I16" i="228"/>
  <c r="I12" i="228"/>
  <c r="I8" i="228"/>
  <c r="M37" i="228"/>
  <c r="M33" i="228"/>
  <c r="Q7" i="228"/>
  <c r="Q34" i="228"/>
  <c r="Q30" i="228"/>
  <c r="Q26" i="228"/>
  <c r="Q22" i="228"/>
  <c r="Q18" i="228"/>
  <c r="Q14" i="228"/>
  <c r="Q10" i="228"/>
  <c r="Y35" i="228"/>
  <c r="Y31" i="228"/>
  <c r="Y27" i="228"/>
  <c r="Y23" i="228"/>
  <c r="Y19" i="228"/>
  <c r="Y15" i="228"/>
  <c r="R36" i="228"/>
  <c r="E7" i="228"/>
  <c r="E34" i="228"/>
  <c r="E30" i="228"/>
  <c r="E26" i="228"/>
  <c r="E22" i="228"/>
  <c r="E14" i="228"/>
  <c r="I35" i="228"/>
  <c r="I31" i="228"/>
  <c r="I27" i="228"/>
  <c r="I23" i="228"/>
  <c r="I15" i="228"/>
  <c r="I11" i="228"/>
  <c r="S34" i="228"/>
  <c r="AA34" i="228" s="1"/>
  <c r="S30" i="228"/>
  <c r="S14" i="228"/>
  <c r="AA14" i="228" s="1"/>
  <c r="S10" i="228"/>
  <c r="AA10" i="228" s="1"/>
  <c r="T33" i="228"/>
  <c r="AB33" i="228" s="1"/>
  <c r="T25" i="228"/>
  <c r="AB25" i="228" s="1"/>
  <c r="T13" i="228"/>
  <c r="AB13" i="228" s="1"/>
  <c r="T9" i="228"/>
  <c r="AB9" i="228" s="1"/>
  <c r="M36" i="228"/>
  <c r="M32" i="228"/>
  <c r="Q37" i="228"/>
  <c r="Q33" i="228"/>
  <c r="Y34" i="228"/>
  <c r="Y25" i="228"/>
  <c r="Y9" i="228"/>
  <c r="R37" i="228"/>
  <c r="S36" i="228"/>
  <c r="AA36" i="228" s="1"/>
  <c r="E28" i="228"/>
  <c r="S8" i="228"/>
  <c r="AA8" i="228" s="1"/>
  <c r="E23" i="228"/>
  <c r="R25" i="228"/>
  <c r="E16" i="228"/>
  <c r="M29" i="228"/>
  <c r="M25" i="228"/>
  <c r="M21" i="228"/>
  <c r="M17" i="228"/>
  <c r="M13" i="228"/>
  <c r="M9" i="228"/>
  <c r="S28" i="228"/>
  <c r="AA28" i="228" s="1"/>
  <c r="S24" i="228"/>
  <c r="AA24" i="228" s="1"/>
  <c r="M23" i="228"/>
  <c r="T34" i="228"/>
  <c r="AB34" i="228" s="1"/>
  <c r="Y21" i="228"/>
  <c r="Y17" i="228"/>
  <c r="R14" i="228"/>
  <c r="E31" i="228"/>
  <c r="E19" i="228"/>
  <c r="E15" i="228"/>
  <c r="S26" i="228"/>
  <c r="AA26" i="228" s="1"/>
  <c r="S22" i="228"/>
  <c r="AA22" i="228" s="1"/>
  <c r="S18" i="228"/>
  <c r="AA18" i="228" s="1"/>
  <c r="T21" i="228"/>
  <c r="AB21" i="228" s="1"/>
  <c r="T17" i="228"/>
  <c r="AB17" i="228" s="1"/>
  <c r="I29" i="228"/>
  <c r="I25" i="228"/>
  <c r="I21" i="228"/>
  <c r="I17" i="228"/>
  <c r="I13" i="228"/>
  <c r="I9" i="228"/>
  <c r="Q31" i="228"/>
  <c r="Q23" i="228"/>
  <c r="Q19" i="228"/>
  <c r="Q15" i="228"/>
  <c r="E37" i="228"/>
  <c r="R29" i="228"/>
  <c r="I19" i="228"/>
  <c r="T22" i="228"/>
  <c r="AB22" i="228" s="1"/>
  <c r="S9" i="228"/>
  <c r="AA9" i="228" s="1"/>
  <c r="T12" i="228"/>
  <c r="AB12" i="228" s="1"/>
  <c r="Y29" i="228"/>
  <c r="Y13" i="228"/>
  <c r="AA30" i="228"/>
  <c r="Y30" i="228"/>
  <c r="Y26" i="228"/>
  <c r="Y22" i="228"/>
  <c r="Y18" i="228"/>
  <c r="Y14" i="228"/>
  <c r="Y10" i="228"/>
  <c r="Y28" i="228"/>
  <c r="Y24" i="228"/>
  <c r="Y20" i="228"/>
  <c r="Y16" i="228"/>
  <c r="Y12" i="228"/>
  <c r="R9" i="228"/>
  <c r="S20" i="228"/>
  <c r="AA20" i="228" s="1"/>
  <c r="S16" i="228"/>
  <c r="AA16" i="228" s="1"/>
  <c r="S12" i="228"/>
  <c r="AA12" i="228" s="1"/>
  <c r="M28" i="228"/>
  <c r="M24" i="228"/>
  <c r="M20" i="228"/>
  <c r="M16" i="228"/>
  <c r="M12" i="228"/>
  <c r="M8" i="228"/>
  <c r="Q29" i="228"/>
  <c r="Q25" i="228"/>
  <c r="Q21" i="228"/>
  <c r="Q17" i="228"/>
  <c r="Q13" i="228"/>
  <c r="Q9" i="228"/>
  <c r="R13" i="228"/>
  <c r="R17" i="228"/>
  <c r="R24" i="228"/>
  <c r="R28" i="228"/>
  <c r="R20" i="228"/>
  <c r="R8" i="228"/>
  <c r="T18" i="228"/>
  <c r="AB18" i="228" s="1"/>
  <c r="T14" i="228"/>
  <c r="AB14" i="228" s="1"/>
  <c r="I7" i="228"/>
  <c r="I30" i="228"/>
  <c r="I26" i="228"/>
  <c r="I22" i="228"/>
  <c r="I18" i="228"/>
  <c r="I14" i="228"/>
  <c r="I10" i="228"/>
  <c r="S29" i="228"/>
  <c r="AA29" i="228" s="1"/>
  <c r="S25" i="228"/>
  <c r="AA25" i="228" s="1"/>
  <c r="T8" i="228"/>
  <c r="AB8" i="228" s="1"/>
  <c r="Q28" i="228"/>
  <c r="Q24" i="228"/>
  <c r="Q20" i="228"/>
  <c r="Q16" i="228"/>
  <c r="Q12" i="228"/>
  <c r="Q8" i="228"/>
  <c r="R18" i="228"/>
  <c r="T23" i="228"/>
  <c r="AB23" i="228" s="1"/>
  <c r="E18" i="228"/>
  <c r="T16" i="228"/>
  <c r="AB16" i="228" s="1"/>
  <c r="S13" i="228"/>
  <c r="AA13" i="228" s="1"/>
  <c r="S21" i="228"/>
  <c r="AA21" i="228" s="1"/>
  <c r="Y8" i="228"/>
  <c r="V41" i="228"/>
  <c r="V40" i="228"/>
  <c r="V39" i="228"/>
  <c r="Y11" i="228"/>
  <c r="Y7" i="228"/>
  <c r="R10" i="228"/>
  <c r="S17" i="228"/>
  <c r="AA17" i="228" s="1"/>
  <c r="T28" i="228"/>
  <c r="AB28" i="228" s="1"/>
  <c r="T24" i="228"/>
  <c r="AB24" i="228" s="1"/>
  <c r="S23" i="228"/>
  <c r="AA23" i="228" s="1"/>
  <c r="S27" i="228"/>
  <c r="AA27" i="228" s="1"/>
  <c r="T30" i="228"/>
  <c r="AB30" i="228" s="1"/>
  <c r="R26" i="228"/>
  <c r="E20" i="228"/>
  <c r="R16" i="228"/>
  <c r="E12" i="228"/>
  <c r="T26" i="228"/>
  <c r="AB26" i="228" s="1"/>
  <c r="R21" i="228"/>
  <c r="H19" i="227"/>
  <c r="S19" i="228"/>
  <c r="AA19" i="228" s="1"/>
  <c r="T15" i="228"/>
  <c r="AB15" i="228" s="1"/>
  <c r="S15" i="228"/>
  <c r="AA15" i="228" s="1"/>
  <c r="S11" i="228"/>
  <c r="E11" i="228"/>
  <c r="E10" i="228"/>
  <c r="E9" i="228"/>
  <c r="H8" i="227"/>
  <c r="E8" i="228"/>
  <c r="D40" i="228"/>
  <c r="B40" i="228"/>
  <c r="C40" i="228"/>
  <c r="T10" i="228"/>
  <c r="AB10" i="228" s="1"/>
  <c r="S31" i="228"/>
  <c r="AA31" i="228" s="1"/>
  <c r="T35" i="228"/>
  <c r="AB35" i="228" s="1"/>
  <c r="T31" i="228"/>
  <c r="AB31" i="228" s="1"/>
  <c r="T27" i="228"/>
  <c r="AB27" i="228" s="1"/>
  <c r="T19" i="228"/>
  <c r="AB19" i="228" s="1"/>
  <c r="T11" i="228"/>
  <c r="R22" i="228"/>
  <c r="R27" i="228"/>
  <c r="R23" i="228"/>
  <c r="R19" i="228"/>
  <c r="R15" i="228"/>
  <c r="Z37" i="228"/>
  <c r="R32" i="228"/>
  <c r="S32" i="228"/>
  <c r="AA32" i="228" s="1"/>
  <c r="R7" i="228"/>
  <c r="R11" i="228"/>
  <c r="T32" i="228"/>
  <c r="AB32" i="228" s="1"/>
  <c r="R33" i="228"/>
  <c r="T37" i="228"/>
  <c r="AB37" i="228" s="1"/>
  <c r="S33" i="228"/>
  <c r="AA33" i="228" s="1"/>
  <c r="S35" i="228"/>
  <c r="AA35" i="228" s="1"/>
  <c r="S7" i="228"/>
  <c r="R30" i="228"/>
  <c r="R34" i="228"/>
  <c r="Z36" i="228"/>
  <c r="T7" i="228"/>
  <c r="R31" i="228"/>
  <c r="R35" i="228"/>
  <c r="E40" i="227"/>
  <c r="O41" i="228" s="1"/>
  <c r="E39" i="227"/>
  <c r="O40" i="228" s="1"/>
  <c r="J41" i="228"/>
  <c r="J39" i="228"/>
  <c r="C40" i="227"/>
  <c r="H41" i="228" s="1"/>
  <c r="C39" i="227"/>
  <c r="F40" i="228" s="1"/>
  <c r="C38" i="227"/>
  <c r="H39" i="228" s="1"/>
  <c r="K40" i="228"/>
  <c r="F7" i="227"/>
  <c r="E38" i="227"/>
  <c r="N39" i="228" s="1"/>
  <c r="B41" i="228"/>
  <c r="B39" i="228"/>
  <c r="AD7" i="50"/>
  <c r="AF7" i="50" s="1"/>
  <c r="D35" i="244" l="1"/>
  <c r="F35" i="244" s="1"/>
  <c r="L21" i="233"/>
  <c r="O21" i="233"/>
  <c r="N22" i="233"/>
  <c r="P22" i="233"/>
  <c r="M22" i="233"/>
  <c r="P21" i="233"/>
  <c r="L20" i="233"/>
  <c r="N21" i="233"/>
  <c r="P20" i="233"/>
  <c r="M21" i="233"/>
  <c r="O22" i="233"/>
  <c r="U27" i="228"/>
  <c r="O20" i="233"/>
  <c r="L22" i="233"/>
  <c r="N20" i="233"/>
  <c r="M20" i="233"/>
  <c r="U35" i="228"/>
  <c r="U34" i="228"/>
  <c r="U37" i="228"/>
  <c r="U36" i="228"/>
  <c r="U30" i="228"/>
  <c r="U32" i="228"/>
  <c r="AC36" i="228"/>
  <c r="U31" i="228"/>
  <c r="U33" i="228"/>
  <c r="Z25" i="228"/>
  <c r="AC25" i="228" s="1"/>
  <c r="U25" i="228"/>
  <c r="Z12" i="228"/>
  <c r="AC12" i="228" s="1"/>
  <c r="U12" i="228"/>
  <c r="Z23" i="228"/>
  <c r="AC23" i="228" s="1"/>
  <c r="U23" i="228"/>
  <c r="U11" i="228"/>
  <c r="Z16" i="228"/>
  <c r="AC16" i="228" s="1"/>
  <c r="U16" i="228"/>
  <c r="Z24" i="228"/>
  <c r="AC24" i="228" s="1"/>
  <c r="U24" i="228"/>
  <c r="Z28" i="228"/>
  <c r="AC28" i="228" s="1"/>
  <c r="U28" i="228"/>
  <c r="U7" i="228"/>
  <c r="Z15" i="228"/>
  <c r="AC15" i="228" s="1"/>
  <c r="U15" i="228"/>
  <c r="U22" i="228"/>
  <c r="Z21" i="228"/>
  <c r="AC21" i="228" s="1"/>
  <c r="U21" i="228"/>
  <c r="Z10" i="228"/>
  <c r="AC10" i="228" s="1"/>
  <c r="U10" i="228"/>
  <c r="Z8" i="228"/>
  <c r="U8" i="228"/>
  <c r="Z17" i="228"/>
  <c r="AC17" i="228" s="1"/>
  <c r="U17" i="228"/>
  <c r="Z29" i="228"/>
  <c r="AC29" i="228" s="1"/>
  <c r="U29" i="228"/>
  <c r="Z14" i="228"/>
  <c r="AC14" i="228" s="1"/>
  <c r="U14" i="228"/>
  <c r="U19" i="228"/>
  <c r="Z26" i="228"/>
  <c r="AC26" i="228" s="1"/>
  <c r="U26" i="228"/>
  <c r="Z18" i="228"/>
  <c r="AC18" i="228" s="1"/>
  <c r="U18" i="228"/>
  <c r="Z20" i="228"/>
  <c r="AC20" i="228" s="1"/>
  <c r="U20" i="228"/>
  <c r="Z13" i="228"/>
  <c r="AC13" i="228" s="1"/>
  <c r="U13" i="228"/>
  <c r="Z9" i="228"/>
  <c r="AC9" i="228" s="1"/>
  <c r="U9" i="228"/>
  <c r="AC37" i="228"/>
  <c r="O9" i="234"/>
  <c r="O20" i="234" s="1"/>
  <c r="M11" i="234"/>
  <c r="M22" i="234" s="1"/>
  <c r="O11" i="234"/>
  <c r="O22" i="234" s="1"/>
  <c r="L9" i="234"/>
  <c r="L20" i="234" s="1"/>
  <c r="N11" i="234"/>
  <c r="N22" i="234" s="1"/>
  <c r="P10" i="234"/>
  <c r="P21" i="234" s="1"/>
  <c r="O10" i="234"/>
  <c r="O21" i="234" s="1"/>
  <c r="L11" i="234"/>
  <c r="L22" i="234" s="1"/>
  <c r="N10" i="234"/>
  <c r="N21" i="234" s="1"/>
  <c r="P11" i="234"/>
  <c r="P22" i="234" s="1"/>
  <c r="M10" i="234"/>
  <c r="M21" i="234" s="1"/>
  <c r="L10" i="234"/>
  <c r="L21" i="234" s="1"/>
  <c r="N9" i="234"/>
  <c r="N20" i="234" s="1"/>
  <c r="P9" i="234"/>
  <c r="P20" i="234" s="1"/>
  <c r="M9" i="234"/>
  <c r="M20" i="234" s="1"/>
  <c r="X39" i="228"/>
  <c r="R67" i="143"/>
  <c r="X40" i="228"/>
  <c r="R65" i="143"/>
  <c r="W41" i="228"/>
  <c r="R66" i="143"/>
  <c r="H7" i="50"/>
  <c r="H39" i="50" s="1"/>
  <c r="W3" i="143"/>
  <c r="H40" i="228"/>
  <c r="N41" i="228"/>
  <c r="P40" i="228"/>
  <c r="G39" i="228"/>
  <c r="Z27" i="228"/>
  <c r="AC27" i="228" s="1"/>
  <c r="N40" i="228"/>
  <c r="W40" i="228"/>
  <c r="W39" i="228"/>
  <c r="X41" i="228"/>
  <c r="L39" i="228"/>
  <c r="J40" i="228"/>
  <c r="K39" i="228"/>
  <c r="G40" i="228"/>
  <c r="F39" i="228"/>
  <c r="P39" i="228"/>
  <c r="L40" i="228"/>
  <c r="P41" i="228"/>
  <c r="F41" i="228"/>
  <c r="K41" i="228"/>
  <c r="G41" i="228"/>
  <c r="L41" i="228"/>
  <c r="O39" i="228"/>
  <c r="C41" i="228"/>
  <c r="D41" i="228"/>
  <c r="AB11" i="228"/>
  <c r="AA11" i="228"/>
  <c r="E40" i="228"/>
  <c r="E44" i="228" s="1"/>
  <c r="H7" i="227"/>
  <c r="AD8" i="50"/>
  <c r="C39" i="228"/>
  <c r="D39" i="228"/>
  <c r="Z22" i="228"/>
  <c r="AC22" i="228" s="1"/>
  <c r="Z19" i="228"/>
  <c r="AC19" i="228" s="1"/>
  <c r="Z30" i="228"/>
  <c r="AC30" i="228" s="1"/>
  <c r="Z7" i="228"/>
  <c r="Z35" i="228"/>
  <c r="AC35" i="228" s="1"/>
  <c r="AB7" i="228"/>
  <c r="Z33" i="228"/>
  <c r="AC33" i="228" s="1"/>
  <c r="Z32" i="228"/>
  <c r="AC32" i="228" s="1"/>
  <c r="Z31" i="228"/>
  <c r="AC31" i="228" s="1"/>
  <c r="Z34" i="228"/>
  <c r="AC34" i="228" s="1"/>
  <c r="AA7" i="228"/>
  <c r="Z11" i="228"/>
  <c r="G46" i="227"/>
  <c r="E46" i="227"/>
  <c r="D46" i="227"/>
  <c r="C46" i="227"/>
  <c r="B46" i="227"/>
  <c r="H40" i="227"/>
  <c r="F40" i="227"/>
  <c r="F39" i="227"/>
  <c r="F38" i="227"/>
  <c r="A2" i="120"/>
  <c r="AD39" i="50" l="1"/>
  <c r="AF8" i="50"/>
  <c r="R71" i="143"/>
  <c r="AC8" i="228"/>
  <c r="AC11" i="228"/>
  <c r="AC7" i="228"/>
  <c r="Y40" i="228"/>
  <c r="Y44" i="228" s="1"/>
  <c r="Y39" i="228"/>
  <c r="Y43" i="228" s="1"/>
  <c r="I41" i="228"/>
  <c r="I45" i="228" s="1"/>
  <c r="I39" i="228"/>
  <c r="I43" i="228" s="1"/>
  <c r="M41" i="228"/>
  <c r="M45" i="228" s="1"/>
  <c r="Q40" i="228"/>
  <c r="Q44" i="228" s="1"/>
  <c r="T41" i="228"/>
  <c r="R62" i="143"/>
  <c r="R40" i="228"/>
  <c r="B8" i="229" s="1"/>
  <c r="R61" i="143"/>
  <c r="S39" i="228"/>
  <c r="R63" i="143"/>
  <c r="Q41" i="228"/>
  <c r="Q45" i="228" s="1"/>
  <c r="I40" i="228"/>
  <c r="I44" i="228" s="1"/>
  <c r="M39" i="228"/>
  <c r="M43" i="228" s="1"/>
  <c r="H38" i="227"/>
  <c r="Q39" i="228"/>
  <c r="Q43" i="228" s="1"/>
  <c r="Y41" i="228"/>
  <c r="Y45" i="228" s="1"/>
  <c r="M40" i="228"/>
  <c r="M44" i="228" s="1"/>
  <c r="Z41" i="228"/>
  <c r="E41" i="228"/>
  <c r="E45" i="228" s="1"/>
  <c r="AB41" i="228"/>
  <c r="E39" i="228"/>
  <c r="E43" i="228" s="1"/>
  <c r="S41" i="228"/>
  <c r="AA41" i="228"/>
  <c r="R41" i="228"/>
  <c r="C8" i="229" s="1"/>
  <c r="R39" i="228"/>
  <c r="S40" i="228"/>
  <c r="B9" i="229" s="1"/>
  <c r="T40" i="228"/>
  <c r="B10" i="229" s="1"/>
  <c r="T39" i="228"/>
  <c r="F46" i="227"/>
  <c r="H39" i="227"/>
  <c r="AF39" i="50" l="1"/>
  <c r="R72" i="143"/>
  <c r="B20" i="229"/>
  <c r="B10" i="223"/>
  <c r="B18" i="229"/>
  <c r="B8" i="223"/>
  <c r="D9" i="229"/>
  <c r="C10" i="229"/>
  <c r="I9" i="229"/>
  <c r="B19" i="229"/>
  <c r="B9" i="223"/>
  <c r="C9" i="229"/>
  <c r="C12" i="229" s="1"/>
  <c r="I8" i="229"/>
  <c r="D8" i="229"/>
  <c r="D10" i="229"/>
  <c r="C18" i="229"/>
  <c r="C8" i="223"/>
  <c r="I10" i="229"/>
  <c r="Z39" i="228"/>
  <c r="AA39" i="228"/>
  <c r="AB39" i="228"/>
  <c r="AA40" i="228"/>
  <c r="R70" i="143"/>
  <c r="U41" i="228"/>
  <c r="U45" i="228" s="1"/>
  <c r="AC41" i="228"/>
  <c r="AC45" i="228" s="1"/>
  <c r="B12" i="229"/>
  <c r="U40" i="228"/>
  <c r="U44" i="228" s="1"/>
  <c r="AB40" i="228"/>
  <c r="Z40" i="228"/>
  <c r="U39" i="228"/>
  <c r="U43" i="228" s="1"/>
  <c r="H46" i="227"/>
  <c r="I8" i="230"/>
  <c r="I18" i="230" s="1"/>
  <c r="I12" i="229" l="1"/>
  <c r="D12" i="229"/>
  <c r="H8" i="229"/>
  <c r="H8" i="230" s="1"/>
  <c r="H18" i="230" s="1"/>
  <c r="J9" i="229"/>
  <c r="I20" i="229"/>
  <c r="I10" i="223"/>
  <c r="D20" i="229"/>
  <c r="D10" i="223"/>
  <c r="I18" i="229"/>
  <c r="I8" i="223"/>
  <c r="C20" i="229"/>
  <c r="C10" i="223"/>
  <c r="J10" i="229"/>
  <c r="J10" i="230" s="1"/>
  <c r="J20" i="230" s="1"/>
  <c r="J8" i="229"/>
  <c r="J8" i="230" s="1"/>
  <c r="J18" i="230" s="1"/>
  <c r="H10" i="229"/>
  <c r="H10" i="230" s="1"/>
  <c r="H20" i="230" s="1"/>
  <c r="H9" i="229"/>
  <c r="D18" i="229"/>
  <c r="D8" i="223"/>
  <c r="C19" i="229"/>
  <c r="C22" i="229" s="1"/>
  <c r="C9" i="223"/>
  <c r="I19" i="229"/>
  <c r="I9" i="223"/>
  <c r="D19" i="229"/>
  <c r="D9" i="223"/>
  <c r="C8" i="230"/>
  <c r="C18" i="230" s="1"/>
  <c r="B8" i="230"/>
  <c r="B18" i="230" s="1"/>
  <c r="C10" i="230"/>
  <c r="C20" i="230" s="1"/>
  <c r="J9" i="230"/>
  <c r="J19" i="230" s="1"/>
  <c r="D10" i="230"/>
  <c r="D20" i="230" s="1"/>
  <c r="B9" i="230"/>
  <c r="B19" i="230" s="1"/>
  <c r="I9" i="230"/>
  <c r="I19" i="230" s="1"/>
  <c r="H9" i="230"/>
  <c r="H19" i="230" s="1"/>
  <c r="I10" i="230"/>
  <c r="I20" i="230" s="1"/>
  <c r="D9" i="230"/>
  <c r="D19" i="230" s="1"/>
  <c r="C9" i="230"/>
  <c r="C19" i="230" s="1"/>
  <c r="B10" i="230"/>
  <c r="B20" i="230" s="1"/>
  <c r="D8" i="230"/>
  <c r="D18" i="230" s="1"/>
  <c r="AC39" i="228"/>
  <c r="AC43" i="228" s="1"/>
  <c r="B22" i="229"/>
  <c r="AC40" i="228"/>
  <c r="AC44" i="228" s="1"/>
  <c r="H12" i="229" l="1"/>
  <c r="D22" i="229"/>
  <c r="J12" i="229"/>
  <c r="I22" i="229"/>
  <c r="H19" i="229"/>
  <c r="H9" i="223"/>
  <c r="J19" i="229"/>
  <c r="J9" i="223"/>
  <c r="H20" i="229"/>
  <c r="H10" i="223"/>
  <c r="J18" i="229"/>
  <c r="J8" i="223"/>
  <c r="J20" i="229"/>
  <c r="J10" i="223"/>
  <c r="H18" i="229"/>
  <c r="H8" i="223"/>
  <c r="D22" i="230"/>
  <c r="I22" i="230"/>
  <c r="J12" i="230"/>
  <c r="C12" i="230"/>
  <c r="B12" i="230"/>
  <c r="B22" i="230"/>
  <c r="D12" i="230"/>
  <c r="I12" i="230"/>
  <c r="C22" i="230"/>
  <c r="J22" i="230"/>
  <c r="H12" i="230"/>
  <c r="H22" i="229" l="1"/>
  <c r="J22" i="229"/>
  <c r="H22" i="230"/>
  <c r="B24" i="229" l="1"/>
  <c r="I24" i="229"/>
  <c r="D24" i="229"/>
  <c r="I24" i="230"/>
  <c r="C24" i="229"/>
  <c r="D24" i="230"/>
  <c r="J24" i="229"/>
  <c r="B24" i="230"/>
  <c r="H24" i="229"/>
  <c r="C24" i="230"/>
  <c r="J24" i="230"/>
  <c r="H24" i="230"/>
  <c r="D25" i="229"/>
  <c r="H25" i="229"/>
  <c r="I25" i="229"/>
  <c r="J25" i="229"/>
  <c r="C25" i="229"/>
  <c r="B25" i="229"/>
  <c r="C25" i="230"/>
  <c r="I25" i="230"/>
  <c r="B25" i="230"/>
  <c r="D25" i="230"/>
  <c r="J25" i="230"/>
  <c r="H25" i="230"/>
  <c r="B26" i="229"/>
  <c r="C26" i="229"/>
  <c r="D26" i="229"/>
  <c r="I26" i="229"/>
  <c r="J26" i="229"/>
  <c r="I26" i="230"/>
  <c r="B26" i="230"/>
  <c r="C26" i="230"/>
  <c r="H26" i="230"/>
  <c r="D26" i="230"/>
  <c r="J26" i="230"/>
  <c r="H26" i="229"/>
  <c r="C18" i="80"/>
  <c r="I30" i="243" l="1"/>
  <c r="G30" i="243"/>
  <c r="B30" i="243"/>
  <c r="C30" i="243"/>
  <c r="H30" i="243"/>
  <c r="F30" i="243"/>
  <c r="J30" i="243"/>
  <c r="D30" i="243"/>
  <c r="H30" i="230"/>
  <c r="J30" i="230"/>
  <c r="C30" i="230"/>
  <c r="J30" i="220"/>
  <c r="I30" i="230"/>
  <c r="D30" i="230"/>
  <c r="B30" i="230"/>
  <c r="C30" i="220"/>
  <c r="D30" i="220"/>
  <c r="H30" i="220"/>
  <c r="B30" i="220"/>
  <c r="I30" i="220"/>
  <c r="M30" i="184"/>
  <c r="I30" i="184"/>
  <c r="G30" i="184"/>
  <c r="E30" i="194"/>
  <c r="J30" i="194"/>
  <c r="B30" i="194"/>
  <c r="Q30" i="192"/>
  <c r="B30" i="189"/>
  <c r="F30" i="222"/>
  <c r="N30" i="222"/>
  <c r="C30" i="222"/>
  <c r="K30" i="184"/>
  <c r="F30" i="194"/>
  <c r="K30" i="194"/>
  <c r="E30" i="192"/>
  <c r="I30" i="192"/>
  <c r="N30" i="192"/>
  <c r="E30" i="189"/>
  <c r="G30" i="222"/>
  <c r="O30" i="222"/>
  <c r="L30" i="184"/>
  <c r="H30" i="184"/>
  <c r="E30" i="184"/>
  <c r="C30" i="184"/>
  <c r="G30" i="194"/>
  <c r="M30" i="194"/>
  <c r="F30" i="192"/>
  <c r="O30" i="192"/>
  <c r="C30" i="192"/>
  <c r="B30" i="192"/>
  <c r="C30" i="194"/>
  <c r="I30" i="194"/>
  <c r="G30" i="192"/>
  <c r="E30" i="222"/>
  <c r="I30" i="222"/>
  <c r="Q30" i="222"/>
  <c r="B30" i="222"/>
  <c r="E31" i="225"/>
  <c r="M31" i="225"/>
  <c r="B31" i="225"/>
  <c r="E32" i="234"/>
  <c r="M32" i="234"/>
  <c r="F31" i="225"/>
  <c r="N31" i="225"/>
  <c r="D32" i="199"/>
  <c r="P32" i="199"/>
  <c r="F32" i="234"/>
  <c r="N32" i="234"/>
  <c r="C31" i="225"/>
  <c r="O31" i="225"/>
  <c r="F32" i="199"/>
  <c r="C32" i="234"/>
  <c r="O32" i="234"/>
  <c r="N32" i="199"/>
  <c r="D31" i="225"/>
  <c r="L31" i="225"/>
  <c r="P31" i="225"/>
  <c r="D32" i="234"/>
  <c r="L32" i="234"/>
  <c r="P32" i="234"/>
  <c r="B32" i="234"/>
  <c r="L31" i="196"/>
  <c r="B31" i="196"/>
  <c r="H27" i="229"/>
  <c r="C27" i="229"/>
  <c r="B27" i="229"/>
  <c r="B27" i="230"/>
  <c r="I27" i="230"/>
  <c r="J27" i="230"/>
  <c r="J27" i="229"/>
  <c r="D27" i="229"/>
  <c r="H27" i="230"/>
  <c r="C27" i="230"/>
  <c r="D27" i="230"/>
  <c r="I27" i="229"/>
  <c r="D12" i="226" l="1"/>
  <c r="D13" i="226" s="1"/>
  <c r="D14" i="226" s="1"/>
  <c r="A12" i="226"/>
  <c r="A13" i="226" s="1"/>
  <c r="A14" i="226" s="1"/>
  <c r="A15" i="226" l="1"/>
  <c r="A16" i="226" s="1"/>
  <c r="A17" i="226" s="1"/>
  <c r="A18" i="226" s="1"/>
  <c r="D15" i="226"/>
  <c r="D16" i="226" s="1"/>
  <c r="D17" i="226" s="1"/>
  <c r="D18" i="226" s="1"/>
  <c r="D19" i="226" l="1"/>
  <c r="D20" i="226" s="1"/>
  <c r="D21" i="226" s="1"/>
  <c r="D22" i="226" s="1"/>
  <c r="D23" i="226" s="1"/>
  <c r="A19" i="226"/>
  <c r="A20" i="226" s="1"/>
  <c r="A21" i="226" s="1"/>
  <c r="A22" i="226" s="1"/>
  <c r="A23" i="226" s="1"/>
  <c r="D24" i="226" l="1"/>
  <c r="D25" i="226" s="1"/>
  <c r="D26" i="226" s="1"/>
  <c r="D27" i="226" s="1"/>
  <c r="D28" i="226" s="1"/>
  <c r="D29" i="226" s="1"/>
  <c r="D30" i="226" s="1"/>
  <c r="D31" i="226" s="1"/>
  <c r="D32" i="226" s="1"/>
  <c r="A24" i="226"/>
  <c r="A25" i="226" s="1"/>
  <c r="A26" i="226" s="1"/>
  <c r="A27" i="226" s="1"/>
  <c r="A28" i="226" s="1"/>
  <c r="A29" i="226" s="1"/>
  <c r="A30" i="226" l="1"/>
  <c r="A31" i="226" s="1"/>
  <c r="A32" i="226" s="1"/>
  <c r="A33" i="226" s="1"/>
  <c r="A34" i="226" s="1"/>
  <c r="A35" i="226" s="1"/>
  <c r="A36" i="226" s="1"/>
  <c r="A37" i="226" s="1"/>
  <c r="A38" i="226" s="1"/>
  <c r="A39" i="226" s="1"/>
  <c r="A40" i="226" s="1"/>
  <c r="A41" i="226" s="1"/>
  <c r="A42" i="226" s="1"/>
  <c r="A43" i="226" s="1"/>
  <c r="A44" i="226" s="1"/>
  <c r="A45" i="226" s="1"/>
  <c r="A46" i="226" s="1"/>
  <c r="A47" i="226" s="1"/>
  <c r="A48" i="226" s="1"/>
  <c r="A49" i="226" s="1"/>
  <c r="A50" i="226" s="1"/>
  <c r="A51" i="226" s="1"/>
  <c r="A52" i="226" s="1"/>
  <c r="A53" i="226" s="1"/>
  <c r="A54" i="226" s="1"/>
  <c r="A55" i="226" s="1"/>
  <c r="A56" i="226" s="1"/>
  <c r="A57" i="226" s="1"/>
  <c r="A58" i="226" s="1"/>
  <c r="D33" i="226"/>
  <c r="D34" i="226" s="1"/>
  <c r="D35" i="226" s="1"/>
  <c r="D36" i="226" s="1"/>
  <c r="D37" i="226" s="1"/>
  <c r="D38" i="226" s="1"/>
  <c r="D39" i="226" s="1"/>
  <c r="D40" i="226" s="1"/>
  <c r="D41" i="226" s="1"/>
  <c r="D42" i="226" s="1"/>
  <c r="D43" i="226" s="1"/>
  <c r="D44" i="226" s="1"/>
  <c r="D45" i="226" s="1"/>
  <c r="D46" i="226" s="1"/>
  <c r="D47" i="226" s="1"/>
  <c r="D48" i="226" s="1"/>
  <c r="D49" i="226" s="1"/>
  <c r="D50" i="226" s="1"/>
  <c r="D51" i="226" s="1"/>
  <c r="D52" i="226" s="1"/>
  <c r="F41" i="157"/>
  <c r="F40" i="151"/>
  <c r="F41" i="151"/>
  <c r="A59" i="226" l="1"/>
  <c r="A60" i="226" s="1"/>
  <c r="A61" i="226" s="1"/>
  <c r="A62" i="226" s="1"/>
  <c r="D53" i="226"/>
  <c r="D54" i="226" s="1"/>
  <c r="D55" i="226" s="1"/>
  <c r="D56" i="226" s="1"/>
  <c r="D57" i="226" s="1"/>
  <c r="D58" i="226" s="1"/>
  <c r="G47" i="151"/>
  <c r="B47" i="96"/>
  <c r="D59" i="226" l="1"/>
  <c r="D60" i="226" s="1"/>
  <c r="D61" i="226" s="1"/>
  <c r="D62" i="226" s="1"/>
  <c r="AB42" i="8"/>
  <c r="O10" i="50" l="1"/>
  <c r="P42" i="8"/>
  <c r="R42" i="8"/>
  <c r="O9" i="50" l="1"/>
  <c r="O8" i="50"/>
  <c r="P8" i="50"/>
  <c r="Q8" i="50" l="1"/>
  <c r="R8" i="50" s="1"/>
  <c r="M41" i="232"/>
  <c r="M47" i="232" s="1"/>
  <c r="Q41" i="232"/>
  <c r="Q47" i="232" s="1"/>
  <c r="E41" i="232"/>
  <c r="E47" i="232" s="1"/>
  <c r="I41" i="232"/>
  <c r="I47" i="232" s="1"/>
  <c r="AH9" i="8"/>
  <c r="AJ9" i="8" s="1"/>
  <c r="J29" i="156" l="1"/>
  <c r="K29" i="156"/>
  <c r="L29" i="156"/>
  <c r="J30" i="156"/>
  <c r="K30" i="156"/>
  <c r="L30" i="156"/>
  <c r="J31" i="156"/>
  <c r="K31" i="156"/>
  <c r="L31" i="156"/>
  <c r="J32" i="156"/>
  <c r="K32" i="156"/>
  <c r="L32" i="156"/>
  <c r="J33" i="156"/>
  <c r="K33" i="156"/>
  <c r="L33" i="156"/>
  <c r="J34" i="156"/>
  <c r="K34" i="156"/>
  <c r="L34" i="156"/>
  <c r="J35" i="156"/>
  <c r="K35" i="156"/>
  <c r="L35" i="156"/>
  <c r="J36" i="156"/>
  <c r="K36" i="156"/>
  <c r="L36" i="156"/>
  <c r="J37" i="156"/>
  <c r="K37" i="156"/>
  <c r="L37" i="156"/>
  <c r="F29" i="156"/>
  <c r="G29" i="156"/>
  <c r="H29" i="156"/>
  <c r="F30" i="156"/>
  <c r="G30" i="156"/>
  <c r="H30" i="156"/>
  <c r="F31" i="156"/>
  <c r="G31" i="156"/>
  <c r="H31" i="156"/>
  <c r="F32" i="156"/>
  <c r="G32" i="156"/>
  <c r="H32" i="156"/>
  <c r="F33" i="156"/>
  <c r="G33" i="156"/>
  <c r="H33" i="156"/>
  <c r="F34" i="156"/>
  <c r="G34" i="156"/>
  <c r="H34" i="156"/>
  <c r="F35" i="156"/>
  <c r="G35" i="156"/>
  <c r="H35" i="156"/>
  <c r="F36" i="156"/>
  <c r="G36" i="156"/>
  <c r="H36" i="156"/>
  <c r="F37" i="156"/>
  <c r="G37" i="156"/>
  <c r="H37" i="156"/>
  <c r="J29" i="159"/>
  <c r="K29" i="159"/>
  <c r="L29" i="159"/>
  <c r="J30" i="159"/>
  <c r="K30" i="159"/>
  <c r="L30" i="159"/>
  <c r="J31" i="159"/>
  <c r="K31" i="159"/>
  <c r="L31" i="159"/>
  <c r="J32" i="159"/>
  <c r="K32" i="159"/>
  <c r="L32" i="159"/>
  <c r="J33" i="159"/>
  <c r="K33" i="159"/>
  <c r="L33" i="159"/>
  <c r="J34" i="159"/>
  <c r="K34" i="159"/>
  <c r="L34" i="159"/>
  <c r="J35" i="159"/>
  <c r="K35" i="159"/>
  <c r="L35" i="159"/>
  <c r="J36" i="159"/>
  <c r="K36" i="159"/>
  <c r="L36" i="159"/>
  <c r="J37" i="159"/>
  <c r="K37" i="159"/>
  <c r="L37" i="159"/>
  <c r="F29" i="159"/>
  <c r="G29" i="159"/>
  <c r="H29" i="159"/>
  <c r="F30" i="159"/>
  <c r="G30" i="159"/>
  <c r="H30" i="159"/>
  <c r="F31" i="159"/>
  <c r="G31" i="159"/>
  <c r="H31" i="159"/>
  <c r="F32" i="159"/>
  <c r="G32" i="159"/>
  <c r="H32" i="159"/>
  <c r="F33" i="159"/>
  <c r="G33" i="159"/>
  <c r="H33" i="159"/>
  <c r="F34" i="159"/>
  <c r="G34" i="159"/>
  <c r="H34" i="159"/>
  <c r="F35" i="159"/>
  <c r="G35" i="159"/>
  <c r="H35" i="159"/>
  <c r="F36" i="159"/>
  <c r="G36" i="159"/>
  <c r="H36" i="159"/>
  <c r="F37" i="159"/>
  <c r="G37" i="159"/>
  <c r="H37" i="159"/>
  <c r="D30" i="159"/>
  <c r="B31" i="159"/>
  <c r="H31" i="160"/>
  <c r="D32" i="160"/>
  <c r="B29" i="159"/>
  <c r="C29" i="159"/>
  <c r="B30" i="159"/>
  <c r="C30" i="159"/>
  <c r="C31" i="159"/>
  <c r="D31" i="159"/>
  <c r="B32" i="159"/>
  <c r="C32" i="159"/>
  <c r="D32" i="159"/>
  <c r="B33" i="159"/>
  <c r="C33" i="159"/>
  <c r="B34" i="159"/>
  <c r="C34" i="159"/>
  <c r="D34" i="159"/>
  <c r="B35" i="159"/>
  <c r="C35" i="159"/>
  <c r="D35" i="159"/>
  <c r="B36" i="159"/>
  <c r="C36" i="159"/>
  <c r="D36" i="159"/>
  <c r="B37" i="159"/>
  <c r="C37" i="159"/>
  <c r="D37" i="159"/>
  <c r="J29" i="160"/>
  <c r="K29" i="160"/>
  <c r="J30" i="160"/>
  <c r="K30" i="160"/>
  <c r="J31" i="160"/>
  <c r="K31" i="160"/>
  <c r="L31" i="160"/>
  <c r="J32" i="160"/>
  <c r="K32" i="160"/>
  <c r="L32" i="160"/>
  <c r="J33" i="160"/>
  <c r="K33" i="160"/>
  <c r="J34" i="160"/>
  <c r="K34" i="160"/>
  <c r="L34" i="160"/>
  <c r="J35" i="160"/>
  <c r="K35" i="160"/>
  <c r="L35" i="160"/>
  <c r="J36" i="160"/>
  <c r="K36" i="160"/>
  <c r="L36" i="160"/>
  <c r="J37" i="160"/>
  <c r="K37" i="160"/>
  <c r="L37" i="160"/>
  <c r="F29" i="160"/>
  <c r="G29" i="160"/>
  <c r="H29" i="160"/>
  <c r="F30" i="160"/>
  <c r="G30" i="160"/>
  <c r="F31" i="160"/>
  <c r="G31" i="160"/>
  <c r="F32" i="160"/>
  <c r="G32" i="160"/>
  <c r="H32" i="160"/>
  <c r="F33" i="160"/>
  <c r="G33" i="160"/>
  <c r="H33" i="160"/>
  <c r="F34" i="160"/>
  <c r="G34" i="160"/>
  <c r="H34" i="160"/>
  <c r="F35" i="160"/>
  <c r="G35" i="160"/>
  <c r="H35" i="160"/>
  <c r="F36" i="160"/>
  <c r="G36" i="160"/>
  <c r="H36" i="160"/>
  <c r="F37" i="160"/>
  <c r="G37" i="160"/>
  <c r="H37" i="160"/>
  <c r="B29" i="160"/>
  <c r="C29" i="160"/>
  <c r="D29" i="160"/>
  <c r="B30" i="160"/>
  <c r="C30" i="160"/>
  <c r="D30" i="160"/>
  <c r="B31" i="160"/>
  <c r="C31" i="160"/>
  <c r="B32" i="160"/>
  <c r="C32" i="160"/>
  <c r="B33" i="160"/>
  <c r="C33" i="160"/>
  <c r="D33" i="160"/>
  <c r="B34" i="160"/>
  <c r="C34" i="160"/>
  <c r="D34" i="160"/>
  <c r="B35" i="160"/>
  <c r="C35" i="160"/>
  <c r="D35" i="160"/>
  <c r="B36" i="160"/>
  <c r="C36" i="160"/>
  <c r="D36" i="160"/>
  <c r="B37" i="160"/>
  <c r="C37" i="160"/>
  <c r="D37" i="160"/>
  <c r="J30" i="162"/>
  <c r="K30" i="162"/>
  <c r="J31" i="162"/>
  <c r="K31" i="162"/>
  <c r="J32" i="162"/>
  <c r="K32" i="162"/>
  <c r="L32" i="162"/>
  <c r="J33" i="162"/>
  <c r="K33" i="162"/>
  <c r="L33" i="162"/>
  <c r="J34" i="162"/>
  <c r="K34" i="162"/>
  <c r="J35" i="162"/>
  <c r="K35" i="162"/>
  <c r="L35" i="162"/>
  <c r="J36" i="162"/>
  <c r="K36" i="162"/>
  <c r="L36" i="162"/>
  <c r="J37" i="162"/>
  <c r="K37" i="162"/>
  <c r="L37" i="162"/>
  <c r="J38" i="162"/>
  <c r="K38" i="162"/>
  <c r="L38" i="162"/>
  <c r="F30" i="162"/>
  <c r="G30" i="162"/>
  <c r="H30" i="162"/>
  <c r="F31" i="162"/>
  <c r="G31" i="162"/>
  <c r="F32" i="162"/>
  <c r="G32" i="162"/>
  <c r="F33" i="162"/>
  <c r="G33" i="162"/>
  <c r="H33" i="162"/>
  <c r="F34" i="162"/>
  <c r="G34" i="162"/>
  <c r="H34" i="162"/>
  <c r="F35" i="162"/>
  <c r="G35" i="162"/>
  <c r="H35" i="162"/>
  <c r="F36" i="162"/>
  <c r="G36" i="162"/>
  <c r="H36" i="162"/>
  <c r="F37" i="162"/>
  <c r="G37" i="162"/>
  <c r="H37" i="162"/>
  <c r="F38" i="162"/>
  <c r="G38" i="162"/>
  <c r="H38" i="162"/>
  <c r="B30" i="162"/>
  <c r="C30" i="162"/>
  <c r="D30" i="162"/>
  <c r="B31" i="162"/>
  <c r="C31" i="162"/>
  <c r="D31" i="162"/>
  <c r="B32" i="162"/>
  <c r="C32" i="162"/>
  <c r="B33" i="162"/>
  <c r="C33" i="162"/>
  <c r="B34" i="162"/>
  <c r="C34" i="162"/>
  <c r="D34" i="162"/>
  <c r="B35" i="162"/>
  <c r="C35" i="162"/>
  <c r="D35" i="162"/>
  <c r="B36" i="162"/>
  <c r="C36" i="162"/>
  <c r="D36" i="162"/>
  <c r="B37" i="162"/>
  <c r="C37" i="162"/>
  <c r="D37" i="162"/>
  <c r="B38" i="162"/>
  <c r="C38" i="162"/>
  <c r="D38" i="162"/>
  <c r="J29" i="165"/>
  <c r="L29" i="165"/>
  <c r="J30" i="165"/>
  <c r="K30" i="165"/>
  <c r="L30" i="165"/>
  <c r="J31" i="165"/>
  <c r="K31" i="165"/>
  <c r="L31" i="165"/>
  <c r="J32" i="165"/>
  <c r="K32" i="165"/>
  <c r="L32" i="165"/>
  <c r="J33" i="165"/>
  <c r="K33" i="165"/>
  <c r="L33" i="165"/>
  <c r="J34" i="165"/>
  <c r="K34" i="165"/>
  <c r="L34" i="165"/>
  <c r="J35" i="165"/>
  <c r="K35" i="165"/>
  <c r="L35" i="165"/>
  <c r="J36" i="165"/>
  <c r="K36" i="165"/>
  <c r="L36" i="165"/>
  <c r="J37" i="165"/>
  <c r="K37" i="165"/>
  <c r="L37" i="165"/>
  <c r="F29" i="165"/>
  <c r="H29" i="165"/>
  <c r="F30" i="165"/>
  <c r="G30" i="165"/>
  <c r="H30" i="165"/>
  <c r="F31" i="165"/>
  <c r="G31" i="165"/>
  <c r="H31" i="165"/>
  <c r="F32" i="165"/>
  <c r="G32" i="165"/>
  <c r="H32" i="165"/>
  <c r="F33" i="165"/>
  <c r="G33" i="165"/>
  <c r="H33" i="165"/>
  <c r="F34" i="165"/>
  <c r="G34" i="165"/>
  <c r="H34" i="165"/>
  <c r="F35" i="165"/>
  <c r="G35" i="165"/>
  <c r="H35" i="165"/>
  <c r="F36" i="165"/>
  <c r="G36" i="165"/>
  <c r="H36" i="165"/>
  <c r="F37" i="165"/>
  <c r="G37" i="165"/>
  <c r="H37" i="165"/>
  <c r="B29" i="165"/>
  <c r="C29" i="165"/>
  <c r="D29" i="165"/>
  <c r="B30" i="165"/>
  <c r="C30" i="165"/>
  <c r="D30" i="165"/>
  <c r="B31" i="165"/>
  <c r="C31" i="165"/>
  <c r="D31" i="165"/>
  <c r="B32" i="165"/>
  <c r="C32" i="165"/>
  <c r="D32" i="165"/>
  <c r="B33" i="165"/>
  <c r="E33" i="165" s="1"/>
  <c r="C33" i="165"/>
  <c r="D33" i="165"/>
  <c r="B34" i="165"/>
  <c r="C34" i="165"/>
  <c r="D34" i="165"/>
  <c r="B35" i="165"/>
  <c r="C35" i="165"/>
  <c r="D35" i="165"/>
  <c r="B36" i="165"/>
  <c r="C36" i="165"/>
  <c r="D36" i="165"/>
  <c r="B37" i="165"/>
  <c r="E37" i="165" s="1"/>
  <c r="C37" i="165"/>
  <c r="D37" i="165"/>
  <c r="E34" i="165" l="1"/>
  <c r="E30" i="165"/>
  <c r="E35" i="165"/>
  <c r="E31" i="165"/>
  <c r="E36" i="165"/>
  <c r="E32" i="165"/>
  <c r="I36" i="165"/>
  <c r="I32" i="165"/>
  <c r="M34" i="165"/>
  <c r="M30" i="165"/>
  <c r="I35" i="165"/>
  <c r="I31" i="165"/>
  <c r="M37" i="165"/>
  <c r="M33" i="165"/>
  <c r="I37" i="165"/>
  <c r="I33" i="165"/>
  <c r="M35" i="165"/>
  <c r="M31" i="165"/>
  <c r="E29" i="165"/>
  <c r="I34" i="165"/>
  <c r="I30" i="165"/>
  <c r="M36" i="165"/>
  <c r="M32" i="165"/>
  <c r="I34" i="156"/>
  <c r="I30" i="156"/>
  <c r="M35" i="156"/>
  <c r="M31" i="156"/>
  <c r="I35" i="156"/>
  <c r="M32" i="156"/>
  <c r="I37" i="156"/>
  <c r="I33" i="156"/>
  <c r="I29" i="156"/>
  <c r="M34" i="156"/>
  <c r="M30" i="156"/>
  <c r="I31" i="156"/>
  <c r="M36" i="156"/>
  <c r="I36" i="156"/>
  <c r="I32" i="156"/>
  <c r="M37" i="156"/>
  <c r="M33" i="156"/>
  <c r="M29" i="156"/>
  <c r="D32" i="162"/>
  <c r="H31" i="162"/>
  <c r="L34" i="162"/>
  <c r="L30" i="162"/>
  <c r="D31" i="160"/>
  <c r="H30" i="160"/>
  <c r="L33" i="160"/>
  <c r="L29" i="160"/>
  <c r="D33" i="159"/>
  <c r="D29" i="159"/>
  <c r="D33" i="162"/>
  <c r="H32" i="162"/>
  <c r="L31" i="162"/>
  <c r="L30" i="160"/>
  <c r="G29" i="165"/>
  <c r="I29" i="165" s="1"/>
  <c r="K29" i="165"/>
  <c r="M29" i="165" s="1"/>
  <c r="A15" i="222" l="1"/>
  <c r="A15" i="221"/>
  <c r="A15" i="224"/>
  <c r="A15" i="225"/>
  <c r="A15" i="223"/>
  <c r="A15" i="220"/>
  <c r="AG39" i="50" l="1"/>
  <c r="B12" i="217" l="1"/>
  <c r="V8" i="165" l="1"/>
  <c r="V9" i="165"/>
  <c r="V10" i="165"/>
  <c r="V11" i="165"/>
  <c r="V12" i="165"/>
  <c r="V13" i="165"/>
  <c r="V14" i="165"/>
  <c r="V15" i="165"/>
  <c r="V16" i="165"/>
  <c r="V17" i="165"/>
  <c r="V18" i="165"/>
  <c r="V19" i="165"/>
  <c r="V20" i="165"/>
  <c r="V21" i="165"/>
  <c r="V22" i="165"/>
  <c r="V23" i="165"/>
  <c r="V24" i="165"/>
  <c r="V25" i="165"/>
  <c r="V26" i="165"/>
  <c r="V27" i="165"/>
  <c r="V28" i="165"/>
  <c r="V29" i="165"/>
  <c r="V30" i="165"/>
  <c r="W30" i="165"/>
  <c r="X30" i="165"/>
  <c r="V31" i="165"/>
  <c r="W31" i="165"/>
  <c r="X31" i="165"/>
  <c r="V32" i="165"/>
  <c r="W32" i="165"/>
  <c r="X32" i="165"/>
  <c r="V33" i="165"/>
  <c r="W33" i="165"/>
  <c r="X33" i="165"/>
  <c r="V34" i="165"/>
  <c r="W34" i="165"/>
  <c r="X34" i="165"/>
  <c r="V35" i="165"/>
  <c r="W35" i="165"/>
  <c r="X35" i="165"/>
  <c r="V36" i="165"/>
  <c r="W36" i="165"/>
  <c r="X36" i="165"/>
  <c r="V37" i="165"/>
  <c r="W37" i="165"/>
  <c r="X37" i="165"/>
  <c r="V7" i="165"/>
  <c r="K8" i="193" l="1"/>
  <c r="C8" i="193"/>
  <c r="AB45" i="8" l="1"/>
  <c r="AB44" i="8"/>
  <c r="AB43" i="8"/>
  <c r="AB41" i="8"/>
  <c r="T14" i="8" l="1"/>
  <c r="T13" i="8"/>
  <c r="AB51" i="8"/>
  <c r="P11" i="50" l="1"/>
  <c r="P9" i="50"/>
  <c r="V13" i="8"/>
  <c r="P12" i="50"/>
  <c r="R12" i="50" s="1"/>
  <c r="V14" i="8"/>
  <c r="P13" i="50"/>
  <c r="R13" i="50" s="1"/>
  <c r="P10" i="50"/>
  <c r="U44" i="143" l="1"/>
  <c r="M8" i="193" l="1"/>
  <c r="E8" i="193"/>
  <c r="Z8" i="50" l="1"/>
  <c r="Z9" i="50"/>
  <c r="Z10" i="50"/>
  <c r="Z16" i="50"/>
  <c r="Z17" i="50"/>
  <c r="Z18" i="50"/>
  <c r="Z19" i="50"/>
  <c r="Z20" i="50"/>
  <c r="Z21" i="50"/>
  <c r="Z22" i="50"/>
  <c r="Z23" i="50"/>
  <c r="Z24" i="50"/>
  <c r="Z25" i="50"/>
  <c r="Z26" i="50"/>
  <c r="Z27" i="50"/>
  <c r="Z28" i="50"/>
  <c r="Z29" i="50"/>
  <c r="Z30" i="50"/>
  <c r="Z31" i="50"/>
  <c r="Z32" i="50"/>
  <c r="Z33" i="50"/>
  <c r="Z34" i="50"/>
  <c r="Z35" i="50"/>
  <c r="Z36" i="50"/>
  <c r="Z37" i="50"/>
  <c r="Z38" i="50"/>
  <c r="K42" i="160"/>
  <c r="L42" i="160"/>
  <c r="J42" i="160"/>
  <c r="G42" i="160"/>
  <c r="H42" i="160"/>
  <c r="F42" i="160"/>
  <c r="C42" i="160"/>
  <c r="D42" i="160"/>
  <c r="B42" i="160"/>
  <c r="H41" i="151"/>
  <c r="E40" i="151"/>
  <c r="E41" i="151"/>
  <c r="B41" i="151"/>
  <c r="B40" i="151"/>
  <c r="H40" i="151" s="1"/>
  <c r="L42" i="156"/>
  <c r="K42" i="156"/>
  <c r="J42" i="156"/>
  <c r="G42" i="156"/>
  <c r="H42" i="156"/>
  <c r="F42" i="156"/>
  <c r="D41" i="96"/>
  <c r="E41" i="96"/>
  <c r="F41" i="96"/>
  <c r="G41" i="96"/>
  <c r="H41" i="96"/>
  <c r="C41" i="96"/>
  <c r="M42" i="160" l="1"/>
  <c r="M47" i="160" s="1"/>
  <c r="E42" i="160"/>
  <c r="E47" i="160" s="1"/>
  <c r="I42" i="156"/>
  <c r="I47" i="156" s="1"/>
  <c r="I42" i="160"/>
  <c r="I47" i="160" s="1"/>
  <c r="M42" i="156"/>
  <c r="M47" i="156" s="1"/>
  <c r="X8" i="50" l="1"/>
  <c r="Y8" i="50"/>
  <c r="X9" i="50"/>
  <c r="Y9" i="50"/>
  <c r="X10" i="50"/>
  <c r="Y10" i="50"/>
  <c r="X11" i="50"/>
  <c r="Y11" i="50"/>
  <c r="X12" i="50"/>
  <c r="Y12" i="50"/>
  <c r="X13" i="50"/>
  <c r="Y13" i="50"/>
  <c r="X14" i="50"/>
  <c r="Y14" i="50"/>
  <c r="X15" i="50"/>
  <c r="Y15" i="50"/>
  <c r="X16" i="50"/>
  <c r="Y16" i="50"/>
  <c r="X18" i="50"/>
  <c r="Y18" i="50"/>
  <c r="X19" i="50"/>
  <c r="Y19" i="50"/>
  <c r="X20" i="50"/>
  <c r="Y20" i="50"/>
  <c r="X21" i="50"/>
  <c r="Y21" i="50"/>
  <c r="X22" i="50"/>
  <c r="Y22" i="50"/>
  <c r="X24" i="50"/>
  <c r="Y24" i="50"/>
  <c r="X26" i="50"/>
  <c r="Y26" i="50"/>
  <c r="X31" i="50"/>
  <c r="Y31" i="50"/>
  <c r="X32" i="50"/>
  <c r="Y32" i="50"/>
  <c r="V23" i="50"/>
  <c r="W23" i="50"/>
  <c r="V24" i="50"/>
  <c r="W24" i="50"/>
  <c r="V28" i="50"/>
  <c r="W28" i="50"/>
  <c r="V29" i="50"/>
  <c r="W29" i="50"/>
  <c r="V30" i="50"/>
  <c r="W30" i="50"/>
  <c r="V31" i="50"/>
  <c r="W31" i="50"/>
  <c r="V32" i="50"/>
  <c r="W32" i="50"/>
  <c r="V33" i="50"/>
  <c r="W33" i="50"/>
  <c r="V34" i="50"/>
  <c r="W34" i="50"/>
  <c r="V35" i="50"/>
  <c r="W35" i="50"/>
  <c r="V36" i="50"/>
  <c r="W36" i="50"/>
  <c r="V37" i="50"/>
  <c r="W37" i="50"/>
  <c r="S36" i="50"/>
  <c r="T36" i="50"/>
  <c r="U36" i="50"/>
  <c r="S37" i="50"/>
  <c r="T37" i="50"/>
  <c r="U37" i="50"/>
  <c r="J10" i="50"/>
  <c r="J11" i="50"/>
  <c r="J12" i="50"/>
  <c r="J13" i="50"/>
  <c r="J14" i="50"/>
  <c r="I15" i="50"/>
  <c r="J15" i="50"/>
  <c r="I16" i="50"/>
  <c r="J16" i="50"/>
  <c r="K16" i="50"/>
  <c r="F17" i="50"/>
  <c r="G17" i="50"/>
  <c r="I17" i="50"/>
  <c r="J17" i="50"/>
  <c r="K17" i="50"/>
  <c r="I18" i="50"/>
  <c r="J18" i="50"/>
  <c r="K18" i="50"/>
  <c r="B19" i="50"/>
  <c r="G19" i="50"/>
  <c r="I19" i="50"/>
  <c r="J19" i="50"/>
  <c r="K19" i="50"/>
  <c r="B20" i="50"/>
  <c r="C20" i="50"/>
  <c r="G20" i="50"/>
  <c r="I20" i="50"/>
  <c r="J20" i="50"/>
  <c r="K20" i="50"/>
  <c r="B21" i="50"/>
  <c r="C21" i="50"/>
  <c r="G21" i="50"/>
  <c r="I21" i="50"/>
  <c r="J21" i="50"/>
  <c r="K21" i="50"/>
  <c r="B22" i="50"/>
  <c r="F22" i="50"/>
  <c r="G22" i="50"/>
  <c r="I22" i="50"/>
  <c r="J22" i="50"/>
  <c r="K22" i="50"/>
  <c r="B23" i="50"/>
  <c r="C23" i="50"/>
  <c r="F23" i="50"/>
  <c r="G23" i="50"/>
  <c r="I23" i="50"/>
  <c r="J23" i="50"/>
  <c r="K23" i="50"/>
  <c r="B24" i="50"/>
  <c r="C24" i="50"/>
  <c r="F24" i="50"/>
  <c r="G24" i="50"/>
  <c r="I24" i="50"/>
  <c r="J24" i="50"/>
  <c r="K24" i="50"/>
  <c r="B25" i="50"/>
  <c r="C25" i="50"/>
  <c r="F25" i="50"/>
  <c r="G25" i="50"/>
  <c r="I25" i="50"/>
  <c r="J25" i="50"/>
  <c r="K25" i="50"/>
  <c r="B26" i="50"/>
  <c r="C26" i="50"/>
  <c r="F26" i="50"/>
  <c r="G26" i="50"/>
  <c r="I26" i="50"/>
  <c r="J26" i="50"/>
  <c r="K26" i="50"/>
  <c r="B27" i="50"/>
  <c r="C27" i="50"/>
  <c r="F27" i="50"/>
  <c r="G27" i="50"/>
  <c r="I27" i="50"/>
  <c r="J27" i="50"/>
  <c r="K27" i="50"/>
  <c r="B28" i="50"/>
  <c r="C28" i="50"/>
  <c r="F28" i="50"/>
  <c r="G28" i="50"/>
  <c r="I28" i="50"/>
  <c r="J28" i="50"/>
  <c r="K28" i="50"/>
  <c r="B29" i="50"/>
  <c r="C29" i="50"/>
  <c r="D29" i="50"/>
  <c r="F29" i="50"/>
  <c r="G29" i="50"/>
  <c r="I29" i="50"/>
  <c r="J29" i="50"/>
  <c r="K29" i="50"/>
  <c r="B30" i="50"/>
  <c r="C30" i="50"/>
  <c r="D30" i="50"/>
  <c r="E30" i="50"/>
  <c r="F30" i="50"/>
  <c r="G30" i="50"/>
  <c r="I30" i="50"/>
  <c r="J30" i="50"/>
  <c r="K30" i="50"/>
  <c r="B31" i="50"/>
  <c r="C31" i="50"/>
  <c r="D31" i="50"/>
  <c r="E31" i="50"/>
  <c r="F31" i="50"/>
  <c r="G31" i="50"/>
  <c r="I31" i="50"/>
  <c r="J31" i="50"/>
  <c r="K31" i="50"/>
  <c r="B32" i="50"/>
  <c r="C32" i="50"/>
  <c r="D32" i="50"/>
  <c r="E32" i="50"/>
  <c r="F32" i="50"/>
  <c r="G32" i="50"/>
  <c r="I32" i="50"/>
  <c r="J32" i="50"/>
  <c r="K32" i="50"/>
  <c r="B33" i="50"/>
  <c r="C33" i="50"/>
  <c r="D33" i="50"/>
  <c r="E33" i="50"/>
  <c r="F33" i="50"/>
  <c r="G33" i="50"/>
  <c r="I33" i="50"/>
  <c r="J33" i="50"/>
  <c r="K33" i="50"/>
  <c r="B34" i="50"/>
  <c r="C34" i="50"/>
  <c r="D34" i="50"/>
  <c r="E34" i="50"/>
  <c r="F34" i="50"/>
  <c r="G34" i="50"/>
  <c r="I34" i="50"/>
  <c r="J34" i="50"/>
  <c r="K34" i="50"/>
  <c r="B35" i="50"/>
  <c r="C35" i="50"/>
  <c r="D35" i="50"/>
  <c r="E35" i="50"/>
  <c r="F35" i="50"/>
  <c r="G35" i="50"/>
  <c r="I35" i="50"/>
  <c r="J35" i="50"/>
  <c r="K35" i="50"/>
  <c r="B36" i="50"/>
  <c r="C36" i="50"/>
  <c r="D36" i="50"/>
  <c r="E36" i="50"/>
  <c r="F36" i="50"/>
  <c r="G36" i="50"/>
  <c r="I36" i="50"/>
  <c r="J36" i="50"/>
  <c r="K36" i="50"/>
  <c r="B37" i="50"/>
  <c r="C37" i="50"/>
  <c r="D37" i="50"/>
  <c r="E37" i="50"/>
  <c r="F37" i="50"/>
  <c r="G37" i="50"/>
  <c r="I37" i="50"/>
  <c r="J37" i="50"/>
  <c r="K37" i="50"/>
  <c r="L37" i="50" l="1"/>
  <c r="AH37" i="50" s="1"/>
  <c r="L35" i="50"/>
  <c r="L33" i="50"/>
  <c r="L31" i="50"/>
  <c r="L36" i="50"/>
  <c r="AH36" i="50" s="1"/>
  <c r="L34" i="50"/>
  <c r="L32" i="50"/>
  <c r="L30" i="50"/>
  <c r="V39" i="165" l="1"/>
  <c r="Y30" i="165" l="1"/>
  <c r="Y32" i="165"/>
  <c r="Y34" i="165"/>
  <c r="Y36" i="165"/>
  <c r="O30" i="165"/>
  <c r="P30" i="165"/>
  <c r="O31" i="165"/>
  <c r="S31" i="165" s="1"/>
  <c r="C31" i="33" s="1"/>
  <c r="P31" i="165"/>
  <c r="O32" i="165"/>
  <c r="P32" i="165"/>
  <c r="O33" i="165"/>
  <c r="S33" i="165" s="1"/>
  <c r="C33" i="33" s="1"/>
  <c r="P33" i="165"/>
  <c r="O34" i="165"/>
  <c r="P34" i="165"/>
  <c r="T34" i="165" s="1"/>
  <c r="D34" i="33" s="1"/>
  <c r="O35" i="165"/>
  <c r="S35" i="165" s="1"/>
  <c r="C35" i="33" s="1"/>
  <c r="P35" i="165"/>
  <c r="T35" i="165" s="1"/>
  <c r="D35" i="33" s="1"/>
  <c r="O36" i="165"/>
  <c r="P36" i="165"/>
  <c r="T36" i="165" s="1"/>
  <c r="D36" i="33" s="1"/>
  <c r="O37" i="165"/>
  <c r="S37" i="165" s="1"/>
  <c r="C37" i="33" s="1"/>
  <c r="P37" i="165"/>
  <c r="T37" i="165" s="1"/>
  <c r="D37" i="33" s="1"/>
  <c r="N30" i="165"/>
  <c r="N31" i="165"/>
  <c r="N32" i="165"/>
  <c r="N33" i="165"/>
  <c r="N34" i="165"/>
  <c r="N35" i="165"/>
  <c r="N36" i="165"/>
  <c r="R36" i="165" s="1"/>
  <c r="B36" i="33" s="1"/>
  <c r="N37" i="165"/>
  <c r="R37" i="165" s="1"/>
  <c r="B37" i="33" s="1"/>
  <c r="E37" i="33" s="1"/>
  <c r="R34" i="165"/>
  <c r="B34" i="33" s="1"/>
  <c r="F19" i="50"/>
  <c r="D21" i="50"/>
  <c r="D24" i="50"/>
  <c r="D25" i="50"/>
  <c r="D26" i="50"/>
  <c r="D27" i="50"/>
  <c r="C18" i="50"/>
  <c r="G18" i="50"/>
  <c r="G16" i="50"/>
  <c r="G14" i="50"/>
  <c r="L37" i="33" l="1"/>
  <c r="L35" i="33"/>
  <c r="Q35" i="165"/>
  <c r="Q36" i="165"/>
  <c r="R35" i="165"/>
  <c r="S36" i="165"/>
  <c r="C36" i="33" s="1"/>
  <c r="E36" i="33" s="1"/>
  <c r="AB35" i="165"/>
  <c r="AB36" i="165"/>
  <c r="AB34" i="165"/>
  <c r="AB37" i="165"/>
  <c r="AA37" i="165"/>
  <c r="AA35" i="165"/>
  <c r="Z36" i="165"/>
  <c r="T33" i="165"/>
  <c r="T31" i="165"/>
  <c r="R30" i="165"/>
  <c r="B30" i="33" s="1"/>
  <c r="R32" i="165"/>
  <c r="T32" i="165"/>
  <c r="D32" i="33" s="1"/>
  <c r="T30" i="165"/>
  <c r="D30" i="33" s="1"/>
  <c r="Q30" i="165"/>
  <c r="AA33" i="165"/>
  <c r="AA31" i="165"/>
  <c r="S32" i="165"/>
  <c r="S30" i="165"/>
  <c r="C30" i="33" s="1"/>
  <c r="Q32" i="165"/>
  <c r="Q31" i="165"/>
  <c r="R33" i="165"/>
  <c r="Q34" i="165"/>
  <c r="R31" i="165"/>
  <c r="B31" i="33" s="1"/>
  <c r="Z34" i="165"/>
  <c r="Q37" i="165"/>
  <c r="Q33" i="165"/>
  <c r="S34" i="165"/>
  <c r="C34" i="33" s="1"/>
  <c r="E34" i="33" s="1"/>
  <c r="Y35" i="165"/>
  <c r="Y31" i="165"/>
  <c r="Z37" i="165"/>
  <c r="U37" i="165"/>
  <c r="Y37" i="165"/>
  <c r="Y33" i="165"/>
  <c r="I10" i="50"/>
  <c r="B12" i="50"/>
  <c r="C17" i="50"/>
  <c r="E10" i="50"/>
  <c r="D11" i="50"/>
  <c r="D17" i="50"/>
  <c r="D10" i="50"/>
  <c r="E11" i="50"/>
  <c r="C10" i="50"/>
  <c r="B17" i="50"/>
  <c r="E17" i="50"/>
  <c r="B11" i="50"/>
  <c r="B10" i="50"/>
  <c r="Z32" i="165" l="1"/>
  <c r="B32" i="33"/>
  <c r="Z35" i="165"/>
  <c r="AC35" i="165" s="1"/>
  <c r="B35" i="33"/>
  <c r="E35" i="33" s="1"/>
  <c r="E30" i="33"/>
  <c r="Z33" i="165"/>
  <c r="B33" i="33"/>
  <c r="AA32" i="165"/>
  <c r="C32" i="33"/>
  <c r="AB31" i="165"/>
  <c r="D31" i="33"/>
  <c r="E31" i="33" s="1"/>
  <c r="AB33" i="165"/>
  <c r="AC33" i="165" s="1"/>
  <c r="D33" i="33"/>
  <c r="L33" i="33" s="1"/>
  <c r="J30" i="33"/>
  <c r="L34" i="33"/>
  <c r="K37" i="33"/>
  <c r="AA36" i="165"/>
  <c r="K36" i="33"/>
  <c r="L36" i="33"/>
  <c r="K30" i="33"/>
  <c r="K35" i="33"/>
  <c r="K33" i="33"/>
  <c r="J34" i="33"/>
  <c r="K32" i="33"/>
  <c r="L30" i="33"/>
  <c r="U35" i="165"/>
  <c r="U36" i="165"/>
  <c r="F10" i="50"/>
  <c r="K11" i="50"/>
  <c r="K10" i="50"/>
  <c r="U33" i="165"/>
  <c r="J37" i="33"/>
  <c r="J36" i="33"/>
  <c r="AC37" i="165"/>
  <c r="AA34" i="165"/>
  <c r="AC34" i="165" s="1"/>
  <c r="K34" i="33"/>
  <c r="AC36" i="165"/>
  <c r="U30" i="165"/>
  <c r="Z30" i="165"/>
  <c r="U32" i="165"/>
  <c r="J32" i="33"/>
  <c r="AB30" i="165"/>
  <c r="AB32" i="165"/>
  <c r="L32" i="33"/>
  <c r="AA30" i="165"/>
  <c r="K31" i="33"/>
  <c r="U31" i="165"/>
  <c r="Z31" i="165"/>
  <c r="AC31" i="165" s="1"/>
  <c r="L17" i="50"/>
  <c r="BX11" i="64"/>
  <c r="BZ11" i="64" s="1"/>
  <c r="U34" i="165"/>
  <c r="E33" i="33" l="1"/>
  <c r="J35" i="33"/>
  <c r="M35" i="33" s="1"/>
  <c r="AC32" i="165"/>
  <c r="E32" i="33"/>
  <c r="L31" i="33"/>
  <c r="M36" i="33"/>
  <c r="M30" i="33"/>
  <c r="M34" i="33"/>
  <c r="M37" i="33"/>
  <c r="M32" i="33"/>
  <c r="G10" i="50"/>
  <c r="L10" i="50" s="1"/>
  <c r="G11" i="50"/>
  <c r="AC30" i="165"/>
  <c r="J33" i="33"/>
  <c r="M33" i="33" s="1"/>
  <c r="J31" i="33"/>
  <c r="M31" i="33" s="1"/>
  <c r="M17" i="41" l="1"/>
  <c r="O36" i="162"/>
  <c r="P36" i="162"/>
  <c r="O37" i="162"/>
  <c r="P37" i="162"/>
  <c r="O38" i="162"/>
  <c r="P38" i="162"/>
  <c r="N36" i="162"/>
  <c r="N37" i="162"/>
  <c r="N38" i="162"/>
  <c r="M32" i="162"/>
  <c r="M36" i="162"/>
  <c r="I33" i="162"/>
  <c r="I37" i="162"/>
  <c r="E33" i="162"/>
  <c r="E37" i="162"/>
  <c r="V45" i="8"/>
  <c r="T45" i="8"/>
  <c r="S13" i="143" s="1"/>
  <c r="R45" i="8"/>
  <c r="P45" i="8"/>
  <c r="R13" i="143"/>
  <c r="R26" i="143" s="1"/>
  <c r="R12" i="143"/>
  <c r="R25" i="143" s="1"/>
  <c r="O35" i="160"/>
  <c r="S35" i="160" s="1"/>
  <c r="P35" i="160"/>
  <c r="O36" i="160"/>
  <c r="P36" i="160"/>
  <c r="T36" i="160" s="1"/>
  <c r="O37" i="160"/>
  <c r="P37" i="160"/>
  <c r="N35" i="160"/>
  <c r="N36" i="160"/>
  <c r="N37" i="160"/>
  <c r="R37" i="160" s="1"/>
  <c r="Z36" i="159"/>
  <c r="Z37" i="159"/>
  <c r="V36" i="159"/>
  <c r="V37" i="159"/>
  <c r="O36" i="159"/>
  <c r="P36" i="159"/>
  <c r="O37" i="159"/>
  <c r="P37" i="159"/>
  <c r="N36" i="159"/>
  <c r="N37" i="159"/>
  <c r="M36" i="159"/>
  <c r="E36" i="159"/>
  <c r="S36" i="159"/>
  <c r="V23" i="156"/>
  <c r="V24" i="156"/>
  <c r="V28" i="156"/>
  <c r="V29" i="156"/>
  <c r="V30" i="156"/>
  <c r="V31" i="156"/>
  <c r="V32" i="156"/>
  <c r="V33" i="156"/>
  <c r="V34" i="156"/>
  <c r="V35" i="156"/>
  <c r="V36" i="156"/>
  <c r="V37" i="156"/>
  <c r="O35" i="156"/>
  <c r="S35" i="156" s="1"/>
  <c r="P35" i="156"/>
  <c r="T35" i="156" s="1"/>
  <c r="O36" i="156"/>
  <c r="S36" i="156" s="1"/>
  <c r="P36" i="156"/>
  <c r="T36" i="156" s="1"/>
  <c r="O37" i="156"/>
  <c r="S37" i="156" s="1"/>
  <c r="P37" i="156"/>
  <c r="T37" i="156" s="1"/>
  <c r="N35" i="156"/>
  <c r="R35" i="156" s="1"/>
  <c r="N36" i="156"/>
  <c r="R36" i="156" s="1"/>
  <c r="N37" i="156"/>
  <c r="R37" i="156" s="1"/>
  <c r="W27" i="50"/>
  <c r="W26" i="50"/>
  <c r="W8" i="50"/>
  <c r="W9" i="50"/>
  <c r="W10" i="50"/>
  <c r="W11" i="50"/>
  <c r="W12" i="50"/>
  <c r="W13" i="50"/>
  <c r="W14" i="50"/>
  <c r="W15" i="50"/>
  <c r="W16" i="50"/>
  <c r="W18" i="50"/>
  <c r="W19" i="50"/>
  <c r="W20" i="50"/>
  <c r="W22" i="50"/>
  <c r="W25" i="50"/>
  <c r="S26" i="143" l="1"/>
  <c r="Q37" i="162"/>
  <c r="P42" i="160"/>
  <c r="O42" i="160"/>
  <c r="N42" i="160"/>
  <c r="O42" i="156"/>
  <c r="V42" i="156"/>
  <c r="P42" i="156"/>
  <c r="N42" i="156"/>
  <c r="Q36" i="162"/>
  <c r="Q38" i="162"/>
  <c r="Q37" i="159"/>
  <c r="T42" i="156"/>
  <c r="U51" i="8"/>
  <c r="M33" i="162"/>
  <c r="M35" i="162"/>
  <c r="M31" i="162"/>
  <c r="M37" i="162"/>
  <c r="E36" i="162"/>
  <c r="I36" i="162"/>
  <c r="E35" i="162"/>
  <c r="E31" i="162"/>
  <c r="I35" i="162"/>
  <c r="I31" i="162"/>
  <c r="E32" i="162"/>
  <c r="I32" i="162"/>
  <c r="E38" i="162"/>
  <c r="E34" i="162"/>
  <c r="E30" i="162"/>
  <c r="T38" i="162"/>
  <c r="T36" i="162"/>
  <c r="I38" i="162"/>
  <c r="I34" i="162"/>
  <c r="I30" i="162"/>
  <c r="M38" i="162"/>
  <c r="M34" i="162"/>
  <c r="M30" i="162"/>
  <c r="S38" i="162"/>
  <c r="W7" i="50"/>
  <c r="G39" i="96"/>
  <c r="R39" i="143" s="1"/>
  <c r="E40" i="96"/>
  <c r="E39" i="96"/>
  <c r="W21" i="50"/>
  <c r="G40" i="96"/>
  <c r="R40" i="143" s="1"/>
  <c r="W17" i="50"/>
  <c r="D40" i="96"/>
  <c r="D39" i="96"/>
  <c r="I36" i="159"/>
  <c r="E37" i="159"/>
  <c r="M37" i="159"/>
  <c r="Q36" i="159"/>
  <c r="V9" i="50"/>
  <c r="V13" i="50"/>
  <c r="F16" i="96"/>
  <c r="F20" i="96"/>
  <c r="C40" i="96"/>
  <c r="C39" i="96"/>
  <c r="V11" i="50"/>
  <c r="F14" i="96"/>
  <c r="F18" i="96"/>
  <c r="Q35" i="156"/>
  <c r="V25" i="50"/>
  <c r="Q36" i="156"/>
  <c r="Q37" i="156"/>
  <c r="V25" i="156"/>
  <c r="V21" i="156"/>
  <c r="V17" i="156"/>
  <c r="V13" i="156"/>
  <c r="V9" i="156"/>
  <c r="V27" i="50"/>
  <c r="V20" i="156"/>
  <c r="V16" i="156"/>
  <c r="V12" i="156"/>
  <c r="V8" i="156"/>
  <c r="V27" i="156"/>
  <c r="V19" i="156"/>
  <c r="V15" i="156"/>
  <c r="V11" i="156"/>
  <c r="F15" i="96"/>
  <c r="F19" i="96"/>
  <c r="G38" i="96"/>
  <c r="V7" i="156"/>
  <c r="V26" i="156"/>
  <c r="V22" i="156"/>
  <c r="V18" i="156"/>
  <c r="V14" i="156"/>
  <c r="V10" i="156"/>
  <c r="T37" i="162"/>
  <c r="S36" i="162"/>
  <c r="R38" i="162"/>
  <c r="S37" i="162"/>
  <c r="R37" i="162"/>
  <c r="R36" i="162"/>
  <c r="I37" i="159"/>
  <c r="R36" i="160"/>
  <c r="S36" i="160"/>
  <c r="E30" i="160"/>
  <c r="E37" i="160"/>
  <c r="E29" i="160"/>
  <c r="Q36" i="160"/>
  <c r="R35" i="160"/>
  <c r="T37" i="160"/>
  <c r="T35" i="160"/>
  <c r="S37" i="160"/>
  <c r="I30" i="160"/>
  <c r="E32" i="160"/>
  <c r="I29" i="160"/>
  <c r="M36" i="160"/>
  <c r="M34" i="160"/>
  <c r="M30" i="160"/>
  <c r="M37" i="160"/>
  <c r="M33" i="160"/>
  <c r="I37" i="160"/>
  <c r="I33" i="160"/>
  <c r="M32" i="160"/>
  <c r="E36" i="160"/>
  <c r="Q37" i="160"/>
  <c r="E33" i="160"/>
  <c r="M35" i="160"/>
  <c r="M31" i="160"/>
  <c r="M29" i="160"/>
  <c r="I36" i="160"/>
  <c r="I32" i="160"/>
  <c r="I34" i="160"/>
  <c r="I31" i="160"/>
  <c r="I35" i="160"/>
  <c r="E34" i="160"/>
  <c r="E31" i="160"/>
  <c r="Q35" i="160"/>
  <c r="E35" i="160"/>
  <c r="S37" i="159"/>
  <c r="T36" i="159"/>
  <c r="T37" i="159"/>
  <c r="R37" i="159"/>
  <c r="R36" i="159"/>
  <c r="F9" i="96"/>
  <c r="F13" i="96"/>
  <c r="F17" i="96"/>
  <c r="F21" i="96"/>
  <c r="H19" i="96" l="1"/>
  <c r="H15" i="96"/>
  <c r="H20" i="96"/>
  <c r="H21" i="96"/>
  <c r="H17" i="96"/>
  <c r="H16" i="96"/>
  <c r="H13" i="96"/>
  <c r="R42" i="160"/>
  <c r="V19" i="50"/>
  <c r="H18" i="96"/>
  <c r="V15" i="50"/>
  <c r="H14" i="96"/>
  <c r="Q42" i="156"/>
  <c r="Q47" i="156" s="1"/>
  <c r="R42" i="143"/>
  <c r="G47" i="96"/>
  <c r="Q42" i="160"/>
  <c r="Q47" i="160" s="1"/>
  <c r="R42" i="156"/>
  <c r="S42" i="156"/>
  <c r="T42" i="160"/>
  <c r="S42" i="160"/>
  <c r="U37" i="160"/>
  <c r="U36" i="160"/>
  <c r="U37" i="162"/>
  <c r="U36" i="162"/>
  <c r="U38" i="162"/>
  <c r="V39" i="156"/>
  <c r="I8" i="187" s="1"/>
  <c r="V40" i="156"/>
  <c r="V41" i="156"/>
  <c r="G8" i="187" s="1"/>
  <c r="V17" i="50"/>
  <c r="F39" i="96"/>
  <c r="V21" i="50"/>
  <c r="F40" i="96"/>
  <c r="R35" i="143" s="1"/>
  <c r="U37" i="156"/>
  <c r="U35" i="156"/>
  <c r="U36" i="156"/>
  <c r="V7" i="50"/>
  <c r="V20" i="50"/>
  <c r="V22" i="50"/>
  <c r="V16" i="50"/>
  <c r="V18" i="50"/>
  <c r="V12" i="50"/>
  <c r="V10" i="50"/>
  <c r="H9" i="96"/>
  <c r="V26" i="50"/>
  <c r="V14" i="50"/>
  <c r="V8" i="50"/>
  <c r="U36" i="159"/>
  <c r="AD36" i="159"/>
  <c r="AD37" i="159"/>
  <c r="U37" i="159"/>
  <c r="U35" i="160"/>
  <c r="Z37" i="156"/>
  <c r="Z36" i="156"/>
  <c r="Z35" i="156"/>
  <c r="Z42" i="156" l="1"/>
  <c r="U42" i="156"/>
  <c r="U47" i="156" s="1"/>
  <c r="U42" i="160"/>
  <c r="U47" i="160" s="1"/>
  <c r="H40" i="96"/>
  <c r="R52" i="143" s="1"/>
  <c r="R34" i="143"/>
  <c r="H39" i="96"/>
  <c r="R51" i="143" s="1"/>
  <c r="F8" i="187"/>
  <c r="D41" i="157" l="1"/>
  <c r="K42" i="159"/>
  <c r="L42" i="159"/>
  <c r="J42" i="159"/>
  <c r="M42" i="159" l="1"/>
  <c r="M47" i="159" s="1"/>
  <c r="M35" i="159"/>
  <c r="C42" i="159"/>
  <c r="B41" i="157"/>
  <c r="D42" i="159"/>
  <c r="B42" i="159"/>
  <c r="B40" i="157"/>
  <c r="F42" i="159"/>
  <c r="G42" i="159"/>
  <c r="H42" i="159"/>
  <c r="C41" i="157"/>
  <c r="I42" i="159" l="1"/>
  <c r="I47" i="159" s="1"/>
  <c r="I30" i="159"/>
  <c r="E32" i="159"/>
  <c r="E42" i="159"/>
  <c r="E47" i="159" s="1"/>
  <c r="M29" i="159"/>
  <c r="M31" i="159"/>
  <c r="I32" i="159"/>
  <c r="M32" i="159"/>
  <c r="I31" i="159"/>
  <c r="M33" i="159"/>
  <c r="I35" i="159"/>
  <c r="E29" i="159"/>
  <c r="M30" i="159"/>
  <c r="E35" i="159"/>
  <c r="I34" i="159"/>
  <c r="E33" i="159"/>
  <c r="E31" i="159"/>
  <c r="I29" i="159"/>
  <c r="M34" i="159"/>
  <c r="E34" i="159"/>
  <c r="E30" i="159"/>
  <c r="I33" i="159"/>
  <c r="O35" i="159" l="1"/>
  <c r="O42" i="159" s="1"/>
  <c r="P35" i="159"/>
  <c r="P42" i="159" s="1"/>
  <c r="N35" i="159"/>
  <c r="N42" i="159" s="1"/>
  <c r="E41" i="157"/>
  <c r="Q42" i="159" l="1"/>
  <c r="Q47" i="159" s="1"/>
  <c r="S35" i="50"/>
  <c r="AH35" i="50" s="1"/>
  <c r="Q35" i="159"/>
  <c r="R35" i="159"/>
  <c r="S35" i="159"/>
  <c r="S42" i="159" s="1"/>
  <c r="T35" i="159"/>
  <c r="T42" i="159" s="1"/>
  <c r="R42" i="159" l="1"/>
  <c r="U35" i="159"/>
  <c r="X25" i="50"/>
  <c r="U42" i="159" l="1"/>
  <c r="U47" i="159" s="1"/>
  <c r="X34" i="50"/>
  <c r="X36" i="50"/>
  <c r="AI36" i="50" s="1"/>
  <c r="X35" i="50"/>
  <c r="B41" i="19"/>
  <c r="X37" i="50"/>
  <c r="AI37" i="50" s="1"/>
  <c r="AJ36" i="50" l="1"/>
  <c r="AL36" i="50" s="1"/>
  <c r="AJ37" i="50"/>
  <c r="AL37" i="50" s="1"/>
  <c r="N51" i="8"/>
  <c r="E20" i="50" l="1"/>
  <c r="E21" i="50"/>
  <c r="F21" i="50"/>
  <c r="F20" i="50" l="1"/>
  <c r="Y33" i="50"/>
  <c r="P41" i="8"/>
  <c r="P44" i="8"/>
  <c r="R41" i="8"/>
  <c r="Y17" i="50"/>
  <c r="P43" i="8"/>
  <c r="R43" i="8"/>
  <c r="Y23" i="50"/>
  <c r="Y29" i="50"/>
  <c r="Y27" i="50"/>
  <c r="R44" i="8"/>
  <c r="Y28" i="50"/>
  <c r="Y30" i="50"/>
  <c r="L21" i="50"/>
  <c r="F14" i="151"/>
  <c r="T42" i="8" l="1"/>
  <c r="P7" i="50"/>
  <c r="D47" i="151"/>
  <c r="C47" i="151"/>
  <c r="Z14" i="50"/>
  <c r="Z15" i="50"/>
  <c r="H14" i="151"/>
  <c r="Z7" i="50"/>
  <c r="R51" i="8"/>
  <c r="P51" i="8"/>
  <c r="S51" i="8"/>
  <c r="T43" i="8"/>
  <c r="S11" i="143" s="1"/>
  <c r="S24" i="143" s="1"/>
  <c r="S10" i="143"/>
  <c r="S23" i="143" s="1"/>
  <c r="T41" i="8"/>
  <c r="V42" i="8"/>
  <c r="Q51" i="8"/>
  <c r="E39" i="151"/>
  <c r="B39" i="151"/>
  <c r="T44" i="8"/>
  <c r="E38" i="151"/>
  <c r="B38" i="151"/>
  <c r="S12" i="143" l="1"/>
  <c r="S25" i="143" s="1"/>
  <c r="S27" i="143" s="1"/>
  <c r="F39" i="151"/>
  <c r="H39" i="151" s="1"/>
  <c r="T51" i="143" s="1"/>
  <c r="E47" i="151"/>
  <c r="B47" i="151"/>
  <c r="Z12" i="50"/>
  <c r="Z13" i="50"/>
  <c r="Z11" i="50"/>
  <c r="F38" i="151"/>
  <c r="V44" i="8"/>
  <c r="S14" i="143"/>
  <c r="T51" i="8"/>
  <c r="V41" i="8"/>
  <c r="V43" i="8"/>
  <c r="F47" i="151" l="1"/>
  <c r="T37" i="143"/>
  <c r="H38" i="151"/>
  <c r="Z39" i="50"/>
  <c r="T34" i="143"/>
  <c r="V51" i="8"/>
  <c r="T54" i="143" l="1"/>
  <c r="H47" i="151"/>
  <c r="S65" i="143" l="1"/>
  <c r="S67" i="143"/>
  <c r="S66" i="143" l="1"/>
  <c r="S62" i="143" l="1"/>
  <c r="S61" i="143"/>
  <c r="S71" i="143" l="1"/>
  <c r="R11" i="143"/>
  <c r="R24" i="143" s="1"/>
  <c r="R10" i="143" l="1"/>
  <c r="R23" i="143" s="1"/>
  <c r="R27" i="143" s="1"/>
  <c r="O7" i="50"/>
  <c r="S70" i="143"/>
  <c r="R14" i="143" l="1"/>
  <c r="M51" i="8"/>
  <c r="O51" i="8" l="1"/>
  <c r="B18" i="50" l="1"/>
  <c r="D23" i="50"/>
  <c r="D22" i="50"/>
  <c r="B16" i="50" l="1"/>
  <c r="I13" i="50" l="1"/>
  <c r="D15" i="50"/>
  <c r="I12" i="50"/>
  <c r="I14" i="50"/>
  <c r="J7" i="50"/>
  <c r="D12" i="50"/>
  <c r="D13" i="50"/>
  <c r="D18" i="50"/>
  <c r="D14" i="50"/>
  <c r="C9" i="50"/>
  <c r="C22" i="50"/>
  <c r="D9" i="50"/>
  <c r="D19" i="50"/>
  <c r="G15" i="50"/>
  <c r="E7" i="50"/>
  <c r="E12" i="50"/>
  <c r="E23" i="50"/>
  <c r="L23" i="50" s="1"/>
  <c r="C15" i="50"/>
  <c r="D20" i="50"/>
  <c r="L20" i="50" s="1"/>
  <c r="I8" i="50"/>
  <c r="J8" i="50"/>
  <c r="E8" i="50"/>
  <c r="E13" i="50"/>
  <c r="E24" i="50"/>
  <c r="L24" i="50" s="1"/>
  <c r="C12" i="50"/>
  <c r="D28" i="50"/>
  <c r="I9" i="50"/>
  <c r="J9" i="50"/>
  <c r="E9" i="50"/>
  <c r="E14" i="50"/>
  <c r="E19" i="50"/>
  <c r="E25" i="50"/>
  <c r="L25" i="50" s="1"/>
  <c r="E29" i="50"/>
  <c r="L29" i="50" s="1"/>
  <c r="C14" i="50"/>
  <c r="E27" i="50"/>
  <c r="L27" i="50" s="1"/>
  <c r="E18" i="50"/>
  <c r="E28" i="50"/>
  <c r="B15" i="50"/>
  <c r="B14" i="50"/>
  <c r="C8" i="50"/>
  <c r="C13" i="50"/>
  <c r="C19" i="50"/>
  <c r="D8" i="50"/>
  <c r="E15" i="50"/>
  <c r="E22" i="50"/>
  <c r="E26" i="50"/>
  <c r="L26" i="50" s="1"/>
  <c r="F16" i="50" l="1"/>
  <c r="F12" i="50"/>
  <c r="F9" i="50"/>
  <c r="F18" i="50"/>
  <c r="L18" i="50" s="1"/>
  <c r="F13" i="50"/>
  <c r="F15" i="50"/>
  <c r="F14" i="50"/>
  <c r="K13" i="50"/>
  <c r="K15" i="50"/>
  <c r="K14" i="50"/>
  <c r="K12" i="50"/>
  <c r="K9" i="50"/>
  <c r="L22" i="50"/>
  <c r="F11" i="50"/>
  <c r="L28" i="50"/>
  <c r="L19" i="50"/>
  <c r="I11" i="50"/>
  <c r="T3" i="143"/>
  <c r="K8" i="50"/>
  <c r="Y3" i="143"/>
  <c r="G12" i="50" l="1"/>
  <c r="G13" i="50"/>
  <c r="G8" i="50"/>
  <c r="G9" i="50"/>
  <c r="L12" i="50"/>
  <c r="L14" i="50"/>
  <c r="L15" i="50"/>
  <c r="S3" i="143"/>
  <c r="D7" i="50"/>
  <c r="X3" i="143"/>
  <c r="I7" i="50"/>
  <c r="B9" i="50"/>
  <c r="D16" i="50"/>
  <c r="V3" i="143"/>
  <c r="G7" i="50"/>
  <c r="C16" i="50"/>
  <c r="B8" i="50"/>
  <c r="C11" i="50"/>
  <c r="L11" i="50" s="1"/>
  <c r="R3" i="143"/>
  <c r="C7" i="50"/>
  <c r="U3" i="143"/>
  <c r="F8" i="50"/>
  <c r="E16" i="50"/>
  <c r="B13" i="50"/>
  <c r="L13" i="50" l="1"/>
  <c r="L9" i="50"/>
  <c r="L16" i="50"/>
  <c r="L8" i="50"/>
  <c r="F40" i="64" l="1"/>
  <c r="B40" i="64"/>
  <c r="B7" i="50" l="1"/>
  <c r="H40" i="64"/>
  <c r="Q3" i="143" l="1"/>
  <c r="C38" i="96"/>
  <c r="C47" i="96" s="1"/>
  <c r="D38" i="96"/>
  <c r="D47" i="96" s="1"/>
  <c r="L51" i="8" l="1"/>
  <c r="J51" i="8"/>
  <c r="H38" i="96" l="1"/>
  <c r="H47" i="96" s="1"/>
  <c r="F38" i="96"/>
  <c r="E38" i="96"/>
  <c r="E47" i="96" s="1"/>
  <c r="F47" i="96" l="1"/>
  <c r="K51" i="8"/>
  <c r="S63" i="143"/>
  <c r="I51" i="8"/>
  <c r="R37" i="143"/>
  <c r="R54" i="143"/>
  <c r="A10" i="120" l="1"/>
  <c r="A11" i="120" s="1"/>
  <c r="A12" i="120" s="1"/>
  <c r="A13" i="120" s="1"/>
  <c r="A14" i="120" l="1"/>
  <c r="A15" i="120" s="1"/>
  <c r="A16" i="120" s="1"/>
  <c r="A17" i="120" s="1"/>
  <c r="A18" i="120" s="1"/>
  <c r="A19" i="120" s="1"/>
  <c r="A20" i="120" s="1"/>
  <c r="A21" i="120" s="1"/>
  <c r="A22" i="120" s="1"/>
  <c r="A23" i="120" s="1"/>
  <c r="A24" i="120" l="1"/>
  <c r="A25" i="120" s="1"/>
  <c r="A26" i="120" s="1"/>
  <c r="A27" i="120" s="1"/>
  <c r="A28" i="120" s="1"/>
  <c r="A29" i="120" s="1"/>
  <c r="A30" i="120" s="1"/>
  <c r="A31" i="120" s="1"/>
  <c r="A32" i="120" s="1"/>
  <c r="A33" i="120" s="1"/>
  <c r="A34" i="120" s="1"/>
  <c r="A35" i="120" s="1"/>
  <c r="E8" i="184"/>
  <c r="G8" i="184"/>
  <c r="M8" i="184"/>
  <c r="C8" i="184"/>
  <c r="I8" i="184"/>
  <c r="K8" i="184"/>
  <c r="L8" i="184"/>
  <c r="H8" i="184"/>
  <c r="G8" i="194"/>
  <c r="I8" i="194"/>
  <c r="F8" i="194"/>
  <c r="A36" i="120" l="1"/>
  <c r="A38" i="120" s="1"/>
  <c r="A40" i="120" s="1"/>
  <c r="A42" i="120" s="1"/>
  <c r="A44" i="120" s="1"/>
  <c r="A45" i="120" s="1"/>
  <c r="A46" i="120" s="1"/>
  <c r="A47" i="120" s="1"/>
  <c r="A48" i="120" s="1"/>
  <c r="A49" i="120" s="1"/>
  <c r="A50" i="120" s="1"/>
  <c r="A51" i="120" s="1"/>
  <c r="A52" i="120" s="1"/>
  <c r="A53" i="120" s="1"/>
  <c r="A54" i="120" s="1"/>
  <c r="A55" i="120" s="1"/>
  <c r="A56" i="120" s="1"/>
  <c r="A57" i="120" s="1"/>
  <c r="A58" i="120" s="1"/>
  <c r="A59" i="120" s="1"/>
  <c r="A60" i="120" s="1"/>
  <c r="A61" i="120" s="1"/>
  <c r="A62" i="120" s="1"/>
  <c r="A63" i="120" s="1"/>
  <c r="A64" i="120" s="1"/>
  <c r="A65" i="120" s="1"/>
  <c r="A66" i="120" s="1"/>
  <c r="A37" i="120"/>
  <c r="A39" i="120" s="1"/>
  <c r="A41" i="120" s="1"/>
  <c r="A43" i="120" s="1"/>
  <c r="O52" i="143" l="1"/>
  <c r="O42" i="143"/>
  <c r="F7" i="50"/>
  <c r="D39" i="50" l="1"/>
  <c r="W39" i="50"/>
  <c r="C39" i="50"/>
  <c r="I39" i="50"/>
  <c r="V39" i="50"/>
  <c r="B39" i="50"/>
  <c r="P39" i="50"/>
  <c r="E39" i="50"/>
  <c r="J39" i="50"/>
  <c r="G39" i="50"/>
  <c r="F39" i="50"/>
  <c r="O39" i="50"/>
  <c r="W22" i="245" l="1"/>
  <c r="V22" i="245"/>
  <c r="S72" i="143" l="1"/>
  <c r="O51" i="143" l="1"/>
  <c r="O54" i="143" s="1"/>
  <c r="O37" i="143" l="1"/>
  <c r="BT40" i="64" l="1"/>
  <c r="Z3" i="143" l="1"/>
  <c r="AA3" i="143" s="1"/>
  <c r="K7" i="50"/>
  <c r="L7" i="50" s="1"/>
  <c r="BZ40" i="64"/>
  <c r="BX40" i="64"/>
  <c r="K39" i="50" l="1"/>
  <c r="L39" i="50"/>
  <c r="A15" i="217" l="1"/>
  <c r="B20" i="217" l="1"/>
  <c r="B26" i="217" s="1"/>
  <c r="B19" i="217"/>
  <c r="B25" i="217" s="1"/>
  <c r="B18" i="217"/>
  <c r="B24" i="217" s="1"/>
  <c r="A15" i="194"/>
  <c r="A15" i="187"/>
  <c r="A15" i="184"/>
  <c r="A15" i="189"/>
  <c r="A15" i="192"/>
  <c r="A15" i="191"/>
  <c r="A16" i="175"/>
  <c r="A16" i="199"/>
  <c r="A15" i="190"/>
  <c r="A15" i="196"/>
  <c r="A15" i="193"/>
  <c r="A15" i="42"/>
  <c r="I18" i="194" l="1"/>
  <c r="I24" i="194" s="1"/>
  <c r="G18" i="194"/>
  <c r="G24" i="194" s="1"/>
  <c r="F18" i="194"/>
  <c r="F24" i="194" s="1"/>
  <c r="M18" i="193"/>
  <c r="M24" i="193" s="1"/>
  <c r="K18" i="193"/>
  <c r="K24" i="193" s="1"/>
  <c r="E18" i="193"/>
  <c r="E24" i="193" s="1"/>
  <c r="C18" i="193"/>
  <c r="C24" i="193" s="1"/>
  <c r="L18" i="184"/>
  <c r="L24" i="184" s="1"/>
  <c r="G18" i="184"/>
  <c r="G24" i="184" s="1"/>
  <c r="K18" i="184"/>
  <c r="K24" i="184" s="1"/>
  <c r="E18" i="184"/>
  <c r="E24" i="184" s="1"/>
  <c r="I18" i="184"/>
  <c r="I24" i="184" s="1"/>
  <c r="H18" i="184"/>
  <c r="H24" i="184" s="1"/>
  <c r="C18" i="184"/>
  <c r="C24" i="184" s="1"/>
  <c r="M18" i="184"/>
  <c r="M24" i="184" s="1"/>
  <c r="I18" i="187"/>
  <c r="I24" i="187" s="1"/>
  <c r="F18" i="187"/>
  <c r="F24" i="187" s="1"/>
  <c r="G18" i="187"/>
  <c r="G24" i="187" s="1"/>
  <c r="B27" i="217"/>
  <c r="B22" i="217"/>
  <c r="Z7" i="159" l="1"/>
  <c r="U7" i="50"/>
  <c r="V15" i="159"/>
  <c r="V13" i="159"/>
  <c r="T20" i="50"/>
  <c r="AI20" i="50" s="1"/>
  <c r="F19" i="157"/>
  <c r="S20" i="50" s="1"/>
  <c r="AH20" i="50" s="1"/>
  <c r="V9" i="159"/>
  <c r="T16" i="50"/>
  <c r="AI16" i="50" s="1"/>
  <c r="T11" i="50"/>
  <c r="AI11" i="50" s="1"/>
  <c r="T18" i="50"/>
  <c r="AI18" i="50" s="1"/>
  <c r="T21" i="50"/>
  <c r="AI21" i="50" s="1"/>
  <c r="T22" i="50"/>
  <c r="AI22" i="50" s="1"/>
  <c r="T23" i="50"/>
  <c r="V28" i="159"/>
  <c r="V31" i="159"/>
  <c r="V35" i="159"/>
  <c r="T27" i="50"/>
  <c r="T29" i="50"/>
  <c r="F22" i="157"/>
  <c r="S23" i="50" s="1"/>
  <c r="AH23" i="50" s="1"/>
  <c r="E39" i="157"/>
  <c r="U33" i="50"/>
  <c r="Z33" i="159"/>
  <c r="U15" i="50"/>
  <c r="Z15" i="159"/>
  <c r="U23" i="50"/>
  <c r="Z23" i="159"/>
  <c r="U31" i="50"/>
  <c r="Z31" i="159"/>
  <c r="Z14" i="159"/>
  <c r="U14" i="50"/>
  <c r="Z22" i="159"/>
  <c r="U22" i="50"/>
  <c r="U30" i="50"/>
  <c r="Z30" i="159"/>
  <c r="V24" i="159"/>
  <c r="T24" i="50"/>
  <c r="AI24" i="50" s="1"/>
  <c r="T33" i="50"/>
  <c r="V33" i="159"/>
  <c r="S28" i="50"/>
  <c r="AH28" i="50" s="1"/>
  <c r="Z19" i="159"/>
  <c r="U19" i="50"/>
  <c r="Z27" i="159"/>
  <c r="U27" i="50"/>
  <c r="V11" i="159"/>
  <c r="T25" i="50"/>
  <c r="AI25" i="50" s="1"/>
  <c r="V25" i="159"/>
  <c r="V32" i="159"/>
  <c r="Z9" i="159"/>
  <c r="U9" i="50"/>
  <c r="U13" i="50"/>
  <c r="Z13" i="159"/>
  <c r="U17" i="50"/>
  <c r="Z17" i="159"/>
  <c r="Z21" i="159"/>
  <c r="Q46" i="143"/>
  <c r="U21" i="50"/>
  <c r="U25" i="50"/>
  <c r="Z25" i="159"/>
  <c r="U29" i="50"/>
  <c r="Z29" i="159"/>
  <c r="E40" i="157"/>
  <c r="E38" i="157"/>
  <c r="U11" i="50"/>
  <c r="Z11" i="159"/>
  <c r="Q47" i="143"/>
  <c r="Z35" i="159"/>
  <c r="U35" i="50"/>
  <c r="F25" i="157"/>
  <c r="U8" i="50"/>
  <c r="Z8" i="159"/>
  <c r="U16" i="50"/>
  <c r="Z16" i="159"/>
  <c r="U32" i="50"/>
  <c r="Z32" i="159"/>
  <c r="F17" i="157"/>
  <c r="S18" i="50" s="1"/>
  <c r="AH18" i="50" s="1"/>
  <c r="Z12" i="159"/>
  <c r="U12" i="50"/>
  <c r="Z20" i="159"/>
  <c r="U20" i="50"/>
  <c r="Z24" i="159"/>
  <c r="U24" i="50"/>
  <c r="U28" i="50"/>
  <c r="Z28" i="159"/>
  <c r="T26" i="50"/>
  <c r="AI26" i="50" s="1"/>
  <c r="Q45" i="143"/>
  <c r="U10" i="50"/>
  <c r="Z10" i="159"/>
  <c r="U18" i="50"/>
  <c r="Z18" i="159"/>
  <c r="U26" i="50"/>
  <c r="Z26" i="159"/>
  <c r="Z34" i="159"/>
  <c r="U34" i="50"/>
  <c r="D40" i="157"/>
  <c r="F18" i="157"/>
  <c r="S19" i="50" s="1"/>
  <c r="AH19" i="50" s="1"/>
  <c r="F20" i="157"/>
  <c r="F21" i="157"/>
  <c r="F23" i="157"/>
  <c r="I23" i="157" s="1"/>
  <c r="D38" i="157"/>
  <c r="C38" i="157"/>
  <c r="F15" i="157"/>
  <c r="D39" i="157"/>
  <c r="C39" i="157"/>
  <c r="F24" i="157"/>
  <c r="I24" i="157" s="1"/>
  <c r="C40" i="157"/>
  <c r="F16" i="157"/>
  <c r="F6" i="157"/>
  <c r="F12" i="157"/>
  <c r="B39" i="157"/>
  <c r="F11" i="157"/>
  <c r="B38" i="157"/>
  <c r="F8" i="157"/>
  <c r="F13" i="157"/>
  <c r="F9" i="157"/>
  <c r="F10" i="157"/>
  <c r="F14" i="157"/>
  <c r="AJ18" i="50" l="1"/>
  <c r="AL18" i="50" s="1"/>
  <c r="AJ20" i="50"/>
  <c r="AL20" i="50" s="1"/>
  <c r="S7" i="50"/>
  <c r="F39" i="157"/>
  <c r="Q34" i="143" s="1"/>
  <c r="U34" i="143" s="1"/>
  <c r="F40" i="157"/>
  <c r="Q35" i="143" s="1"/>
  <c r="U35" i="143" s="1"/>
  <c r="C47" i="157"/>
  <c r="B47" i="157"/>
  <c r="Q48" i="143"/>
  <c r="H47" i="157"/>
  <c r="D47" i="157"/>
  <c r="E47" i="157"/>
  <c r="T14" i="50"/>
  <c r="AI14" i="50" s="1"/>
  <c r="T13" i="50"/>
  <c r="AI13" i="50" s="1"/>
  <c r="V14" i="159"/>
  <c r="I41" i="157"/>
  <c r="Q53" i="143" s="1"/>
  <c r="T19" i="50"/>
  <c r="T15" i="50"/>
  <c r="AI15" i="50" s="1"/>
  <c r="T32" i="50"/>
  <c r="AI32" i="50" s="1"/>
  <c r="T35" i="50"/>
  <c r="AI35" i="50" s="1"/>
  <c r="V34" i="159"/>
  <c r="T17" i="50"/>
  <c r="T31" i="50"/>
  <c r="AI31" i="50" s="1"/>
  <c r="V30" i="159"/>
  <c r="V7" i="159"/>
  <c r="I19" i="157"/>
  <c r="T8" i="50"/>
  <c r="AI8" i="50" s="1"/>
  <c r="V19" i="159"/>
  <c r="V16" i="159"/>
  <c r="V20" i="159"/>
  <c r="V22" i="159"/>
  <c r="V8" i="159"/>
  <c r="G38" i="157"/>
  <c r="V12" i="159"/>
  <c r="V29" i="159"/>
  <c r="T34" i="50"/>
  <c r="AI34" i="50" s="1"/>
  <c r="V23" i="159"/>
  <c r="T9" i="50"/>
  <c r="AI9" i="50" s="1"/>
  <c r="T10" i="50"/>
  <c r="AI10" i="50" s="1"/>
  <c r="G41" i="157"/>
  <c r="Q41" i="143" s="1"/>
  <c r="U41" i="143" s="1"/>
  <c r="I20" i="157"/>
  <c r="T28" i="50"/>
  <c r="G39" i="157"/>
  <c r="Q39" i="143" s="1"/>
  <c r="V21" i="159"/>
  <c r="T12" i="50"/>
  <c r="AI12" i="50" s="1"/>
  <c r="V10" i="159"/>
  <c r="I17" i="157"/>
  <c r="V18" i="159"/>
  <c r="I22" i="157"/>
  <c r="I15" i="157"/>
  <c r="I21" i="157"/>
  <c r="V26" i="159"/>
  <c r="G40" i="157"/>
  <c r="Q40" i="143" s="1"/>
  <c r="V27" i="159"/>
  <c r="T30" i="50"/>
  <c r="I16" i="157"/>
  <c r="T7" i="50"/>
  <c r="V17" i="159"/>
  <c r="I18" i="157"/>
  <c r="S24" i="50"/>
  <c r="AH24" i="50" s="1"/>
  <c r="AA20" i="50"/>
  <c r="S21" i="50"/>
  <c r="AH21" i="50" s="1"/>
  <c r="Z40" i="159"/>
  <c r="U39" i="50"/>
  <c r="S32" i="50"/>
  <c r="AH32" i="50" s="1"/>
  <c r="Z42" i="159"/>
  <c r="S29" i="50"/>
  <c r="AH29" i="50" s="1"/>
  <c r="S34" i="50"/>
  <c r="AH34" i="50" s="1"/>
  <c r="S22" i="50"/>
  <c r="AH22" i="50" s="1"/>
  <c r="Z39" i="159"/>
  <c r="I26" i="157"/>
  <c r="S27" i="50"/>
  <c r="AH27" i="50" s="1"/>
  <c r="Z41" i="159"/>
  <c r="S31" i="50"/>
  <c r="AH31" i="50" s="1"/>
  <c r="AD35" i="159"/>
  <c r="V42" i="159"/>
  <c r="AA18" i="50"/>
  <c r="S30" i="50"/>
  <c r="AH30" i="50" s="1"/>
  <c r="S26" i="50"/>
  <c r="AH26" i="50" s="1"/>
  <c r="I25" i="157"/>
  <c r="S33" i="50"/>
  <c r="AH33" i="50" s="1"/>
  <c r="S25" i="50"/>
  <c r="AH25" i="50" s="1"/>
  <c r="S17" i="50"/>
  <c r="AH17" i="50" s="1"/>
  <c r="S16" i="50"/>
  <c r="AH16" i="50" s="1"/>
  <c r="I6" i="157"/>
  <c r="I9" i="157"/>
  <c r="S10" i="50"/>
  <c r="F38" i="157"/>
  <c r="S8" i="50"/>
  <c r="AH8" i="50" s="1"/>
  <c r="I14" i="157"/>
  <c r="S15" i="50"/>
  <c r="AH15" i="50" s="1"/>
  <c r="S12" i="50"/>
  <c r="AH12" i="50" s="1"/>
  <c r="I11" i="157"/>
  <c r="S13" i="50"/>
  <c r="AH13" i="50" s="1"/>
  <c r="I12" i="157"/>
  <c r="I10" i="157"/>
  <c r="S11" i="50"/>
  <c r="AA11" i="50" s="1"/>
  <c r="I13" i="157"/>
  <c r="S14" i="50"/>
  <c r="AH14" i="50" s="1"/>
  <c r="I8" i="157"/>
  <c r="S9" i="50"/>
  <c r="AJ32" i="50" l="1"/>
  <c r="AL32" i="50" s="1"/>
  <c r="AJ12" i="50"/>
  <c r="AL12" i="50" s="1"/>
  <c r="AJ34" i="50"/>
  <c r="AL34" i="50" s="1"/>
  <c r="AA24" i="50"/>
  <c r="AJ35" i="50"/>
  <c r="AL35" i="50" s="1"/>
  <c r="AJ14" i="50"/>
  <c r="AL14" i="50" s="1"/>
  <c r="AJ15" i="50"/>
  <c r="AL15" i="50" s="1"/>
  <c r="AA26" i="50"/>
  <c r="AJ8" i="50"/>
  <c r="AL8" i="50" s="1"/>
  <c r="AA22" i="50"/>
  <c r="AA19" i="50"/>
  <c r="AI19" i="50"/>
  <c r="AA16" i="50"/>
  <c r="AJ13" i="50"/>
  <c r="AL13" i="50" s="1"/>
  <c r="AJ25" i="50"/>
  <c r="AL25" i="50" s="1"/>
  <c r="AJ31" i="50"/>
  <c r="AL31" i="50" s="1"/>
  <c r="AA21" i="50"/>
  <c r="Q37" i="143"/>
  <c r="U37" i="143" s="1"/>
  <c r="F47" i="157"/>
  <c r="Q42" i="143"/>
  <c r="G47" i="157"/>
  <c r="AA31" i="50"/>
  <c r="AA14" i="50"/>
  <c r="AA15" i="50"/>
  <c r="AA13" i="50"/>
  <c r="AA12" i="50"/>
  <c r="AA10" i="50"/>
  <c r="AA32" i="50"/>
  <c r="AA8" i="50"/>
  <c r="AA9" i="50"/>
  <c r="V39" i="159"/>
  <c r="T39" i="50"/>
  <c r="V40" i="159"/>
  <c r="F8" i="191" s="1"/>
  <c r="F18" i="191" s="1"/>
  <c r="V41" i="159"/>
  <c r="I40" i="157"/>
  <c r="Q52" i="143" s="1"/>
  <c r="AD42" i="159"/>
  <c r="I39" i="157"/>
  <c r="Q51" i="143" s="1"/>
  <c r="I38" i="157"/>
  <c r="S39" i="50"/>
  <c r="S22" i="245" l="1"/>
  <c r="T22" i="245"/>
  <c r="AJ19" i="50"/>
  <c r="AL19" i="50" s="1"/>
  <c r="AJ16" i="50"/>
  <c r="AL16" i="50" s="1"/>
  <c r="AJ22" i="50"/>
  <c r="AL22" i="50" s="1"/>
  <c r="AJ21" i="50"/>
  <c r="AL21" i="50" s="1"/>
  <c r="AJ26" i="50"/>
  <c r="AL26" i="50" s="1"/>
  <c r="AJ24" i="50"/>
  <c r="AL24" i="50" s="1"/>
  <c r="Q85" i="143"/>
  <c r="F24" i="191"/>
  <c r="I47" i="157"/>
  <c r="F8" i="192"/>
  <c r="F18" i="192" s="1"/>
  <c r="G8" i="191"/>
  <c r="G18" i="191" s="1"/>
  <c r="I8" i="191"/>
  <c r="I18" i="191" s="1"/>
  <c r="Q54" i="143"/>
  <c r="I24" i="191" l="1"/>
  <c r="G24" i="191"/>
  <c r="F24" i="192"/>
  <c r="G8" i="192"/>
  <c r="G18" i="192" s="1"/>
  <c r="I8" i="192"/>
  <c r="I18" i="192" s="1"/>
  <c r="I24" i="192" l="1"/>
  <c r="G24" i="192"/>
  <c r="U16" i="143" l="1"/>
  <c r="U17" i="143"/>
  <c r="U18" i="143"/>
  <c r="M42" i="232" l="1"/>
  <c r="M48" i="232" s="1"/>
  <c r="Z45" i="8"/>
  <c r="X44" i="8"/>
  <c r="W44" i="8"/>
  <c r="W42" i="8"/>
  <c r="AH16" i="8"/>
  <c r="AJ16" i="8" s="1"/>
  <c r="AH13" i="8"/>
  <c r="Q9" i="50"/>
  <c r="R9" i="50" s="1"/>
  <c r="AH9" i="50" s="1"/>
  <c r="AH15" i="8"/>
  <c r="U20" i="143"/>
  <c r="AJ9" i="50" l="1"/>
  <c r="AL9" i="50" s="1"/>
  <c r="M44" i="232"/>
  <c r="M50" i="232" s="1"/>
  <c r="I42" i="232"/>
  <c r="I48" i="232" s="1"/>
  <c r="M43" i="232"/>
  <c r="M49" i="232" s="1"/>
  <c r="I40" i="232"/>
  <c r="I46" i="232" s="1"/>
  <c r="Q40" i="232"/>
  <c r="Q46" i="232" s="1"/>
  <c r="M40" i="232"/>
  <c r="M46" i="232" s="1"/>
  <c r="I43" i="232"/>
  <c r="I49" i="232" s="1"/>
  <c r="E40" i="232"/>
  <c r="E46" i="232" s="1"/>
  <c r="Q43" i="232"/>
  <c r="Q49" i="232" s="1"/>
  <c r="E43" i="232"/>
  <c r="E49" i="232" s="1"/>
  <c r="Q44" i="232"/>
  <c r="Q50" i="232" s="1"/>
  <c r="Q42" i="232"/>
  <c r="Q48" i="232" s="1"/>
  <c r="E42" i="232"/>
  <c r="E48" i="232" s="1"/>
  <c r="AE45" i="8"/>
  <c r="X45" i="8"/>
  <c r="W45" i="8"/>
  <c r="AF44" i="8"/>
  <c r="Y44" i="8"/>
  <c r="AF45" i="8"/>
  <c r="Y45" i="8"/>
  <c r="AG44" i="8"/>
  <c r="Z44" i="8"/>
  <c r="AD44" i="8"/>
  <c r="Y42" i="8"/>
  <c r="AF42" i="8"/>
  <c r="Z42" i="8"/>
  <c r="AG42" i="8"/>
  <c r="W43" i="8"/>
  <c r="AG45" i="8"/>
  <c r="AD43" i="8"/>
  <c r="X42" i="8"/>
  <c r="AE42" i="8"/>
  <c r="AA45" i="8"/>
  <c r="Y43" i="8"/>
  <c r="W41" i="8"/>
  <c r="AD42" i="8"/>
  <c r="AA44" i="8"/>
  <c r="AJ13" i="8"/>
  <c r="X41" i="8"/>
  <c r="X43" i="8"/>
  <c r="AH10" i="8"/>
  <c r="AJ10" i="8" s="1"/>
  <c r="Z43" i="8"/>
  <c r="Y41" i="8"/>
  <c r="AJ15" i="8"/>
  <c r="Z41" i="8"/>
  <c r="Q11" i="50" l="1"/>
  <c r="R11" i="50" s="1"/>
  <c r="AH11" i="50" s="1"/>
  <c r="Q10" i="50"/>
  <c r="R10" i="50" s="1"/>
  <c r="AH10" i="50" s="1"/>
  <c r="AA42" i="8"/>
  <c r="T10" i="143" s="1"/>
  <c r="T23" i="143" s="1"/>
  <c r="Q7" i="50"/>
  <c r="R7" i="50" s="1"/>
  <c r="AH7" i="50" s="1"/>
  <c r="AC41" i="232"/>
  <c r="AC47" i="232" s="1"/>
  <c r="U40" i="232"/>
  <c r="U46" i="232" s="1"/>
  <c r="U41" i="232"/>
  <c r="U47" i="232" s="1"/>
  <c r="U42" i="232"/>
  <c r="U48" i="232" s="1"/>
  <c r="U43" i="232"/>
  <c r="U49" i="232" s="1"/>
  <c r="U44" i="232"/>
  <c r="U50" i="232" s="1"/>
  <c r="AG43" i="8"/>
  <c r="AH17" i="8"/>
  <c r="AD45" i="8"/>
  <c r="T13" i="143"/>
  <c r="U13" i="143" s="1"/>
  <c r="AH12" i="8"/>
  <c r="AJ12" i="8" s="1"/>
  <c r="Z51" i="8"/>
  <c r="AF43" i="8"/>
  <c r="AH11" i="8"/>
  <c r="AJ11" i="8" s="1"/>
  <c r="AH8" i="8"/>
  <c r="AH42" i="8" s="1"/>
  <c r="AD41" i="8"/>
  <c r="AF41" i="8"/>
  <c r="Y51" i="8"/>
  <c r="AA43" i="8"/>
  <c r="T11" i="143" s="1"/>
  <c r="X51" i="8"/>
  <c r="T12" i="143"/>
  <c r="AE44" i="8"/>
  <c r="AH14" i="8"/>
  <c r="W51" i="8"/>
  <c r="U19" i="143"/>
  <c r="AA41" i="8"/>
  <c r="T14" i="143" s="1"/>
  <c r="U14" i="143" s="1"/>
  <c r="AC42" i="8"/>
  <c r="AG41" i="8"/>
  <c r="AI51" i="8"/>
  <c r="AE43" i="8"/>
  <c r="AE41" i="8"/>
  <c r="AH39" i="50" l="1"/>
  <c r="AJ10" i="50"/>
  <c r="AL10" i="50" s="1"/>
  <c r="AJ11" i="50"/>
  <c r="AL11" i="50" s="1"/>
  <c r="B8" i="224"/>
  <c r="B9" i="224"/>
  <c r="B10" i="224"/>
  <c r="Q84" i="143"/>
  <c r="AC43" i="8"/>
  <c r="AC40" i="232"/>
  <c r="AC46" i="232" s="1"/>
  <c r="AC44" i="232"/>
  <c r="AC50" i="232" s="1"/>
  <c r="AC43" i="232"/>
  <c r="AC49" i="232" s="1"/>
  <c r="AC42" i="232"/>
  <c r="AC48" i="232" s="1"/>
  <c r="T25" i="143"/>
  <c r="U12" i="143"/>
  <c r="T26" i="143"/>
  <c r="U26" i="143"/>
  <c r="T24" i="143"/>
  <c r="U11" i="143"/>
  <c r="AH43" i="8"/>
  <c r="AJ43" i="8"/>
  <c r="AJ17" i="8"/>
  <c r="AJ45" i="8" s="1"/>
  <c r="AH45" i="8"/>
  <c r="AC45" i="8"/>
  <c r="AF51" i="8"/>
  <c r="AC41" i="8"/>
  <c r="AE51" i="8"/>
  <c r="AA51" i="8"/>
  <c r="AD51" i="8"/>
  <c r="AJ14" i="8"/>
  <c r="AJ44" i="8" s="1"/>
  <c r="AH44" i="8"/>
  <c r="AC44" i="8"/>
  <c r="AG51" i="8"/>
  <c r="U10" i="143"/>
  <c r="AJ8" i="8"/>
  <c r="AJ42" i="8" s="1"/>
  <c r="AH41" i="8"/>
  <c r="L8" i="224" l="1"/>
  <c r="L10" i="224"/>
  <c r="L9" i="224"/>
  <c r="O10" i="224"/>
  <c r="O9" i="224"/>
  <c r="O8" i="224"/>
  <c r="M8" i="224"/>
  <c r="M9" i="224"/>
  <c r="M10" i="224"/>
  <c r="C10" i="224"/>
  <c r="C9" i="224"/>
  <c r="C8" i="224"/>
  <c r="E8" i="224"/>
  <c r="E10" i="224"/>
  <c r="E9" i="224"/>
  <c r="Q86" i="143"/>
  <c r="Q93" i="143"/>
  <c r="U24" i="143"/>
  <c r="U25" i="143"/>
  <c r="U23" i="143"/>
  <c r="T27" i="143"/>
  <c r="AC51" i="8"/>
  <c r="AJ41" i="8"/>
  <c r="Q39" i="50"/>
  <c r="AH51" i="8"/>
  <c r="U27" i="143" l="1"/>
  <c r="R39" i="50"/>
  <c r="AJ51" i="8"/>
  <c r="X23" i="50" l="1"/>
  <c r="X29" i="50"/>
  <c r="X17" i="50"/>
  <c r="B40" i="19"/>
  <c r="G8" i="221" s="1"/>
  <c r="G18" i="221" s="1"/>
  <c r="X30" i="50"/>
  <c r="X27" i="50"/>
  <c r="X33" i="50"/>
  <c r="AA17" i="50" l="1"/>
  <c r="AI17" i="50"/>
  <c r="AA27" i="50"/>
  <c r="AI27" i="50"/>
  <c r="AA29" i="50"/>
  <c r="AI29" i="50"/>
  <c r="AA33" i="50"/>
  <c r="AI33" i="50"/>
  <c r="AA30" i="50"/>
  <c r="AI30" i="50"/>
  <c r="AA23" i="50"/>
  <c r="AI23" i="50"/>
  <c r="Y34" i="50"/>
  <c r="AA34" i="50" s="1"/>
  <c r="Y7" i="50"/>
  <c r="Y36" i="50"/>
  <c r="AA36" i="50" s="1"/>
  <c r="Y35" i="50"/>
  <c r="AA35" i="50" s="1"/>
  <c r="S40" i="143"/>
  <c r="U40" i="143" s="1"/>
  <c r="X28" i="50"/>
  <c r="Y25" i="50"/>
  <c r="AA25" i="50" s="1"/>
  <c r="Y37" i="50"/>
  <c r="AA37" i="50" s="1"/>
  <c r="AJ23" i="50" l="1"/>
  <c r="AL23" i="50" s="1"/>
  <c r="AJ27" i="50"/>
  <c r="AL27" i="50" s="1"/>
  <c r="AJ30" i="50"/>
  <c r="AL30" i="50" s="1"/>
  <c r="AJ29" i="50"/>
  <c r="AL29" i="50" s="1"/>
  <c r="AJ17" i="50"/>
  <c r="AL17" i="50" s="1"/>
  <c r="AJ33" i="50"/>
  <c r="AL33" i="50" s="1"/>
  <c r="AA28" i="50"/>
  <c r="AI28" i="50"/>
  <c r="D40" i="19"/>
  <c r="S52" i="143" s="1"/>
  <c r="U52" i="143" s="1"/>
  <c r="S47" i="143"/>
  <c r="S45" i="143"/>
  <c r="U45" i="143" s="1"/>
  <c r="C47" i="19"/>
  <c r="X7" i="50"/>
  <c r="AI7" i="50" s="1"/>
  <c r="B39" i="19"/>
  <c r="F8" i="221" s="1"/>
  <c r="F18" i="221" s="1"/>
  <c r="B38" i="19"/>
  <c r="I8" i="221" s="1"/>
  <c r="G24" i="221"/>
  <c r="G8" i="222"/>
  <c r="Y39" i="50"/>
  <c r="D41" i="19"/>
  <c r="S48" i="143"/>
  <c r="U48" i="143" s="1"/>
  <c r="S46" i="143"/>
  <c r="U46" i="143" s="1"/>
  <c r="G18" i="222" l="1"/>
  <c r="AJ28" i="50"/>
  <c r="AL28" i="50" s="1"/>
  <c r="AI39" i="50"/>
  <c r="AJ7" i="50"/>
  <c r="I18" i="221"/>
  <c r="F8" i="242"/>
  <c r="U47" i="143"/>
  <c r="S53" i="143"/>
  <c r="U53" i="143" s="1"/>
  <c r="B47" i="19"/>
  <c r="U39" i="143"/>
  <c r="X39" i="50"/>
  <c r="AA7" i="50"/>
  <c r="G24" i="222"/>
  <c r="D38" i="19"/>
  <c r="D39" i="19"/>
  <c r="S42" i="143"/>
  <c r="U42" i="143" s="1"/>
  <c r="Q89" i="143" s="1"/>
  <c r="AL7" i="50" l="1"/>
  <c r="AJ39" i="50"/>
  <c r="F8" i="243"/>
  <c r="F18" i="242"/>
  <c r="Q90" i="143"/>
  <c r="G8" i="242" s="1"/>
  <c r="Q94" i="143"/>
  <c r="Q95" i="143" s="1"/>
  <c r="Q100" i="143" s="1"/>
  <c r="S54" i="143"/>
  <c r="U54" i="143" s="1"/>
  <c r="F8" i="222"/>
  <c r="F24" i="221"/>
  <c r="AA39" i="50"/>
  <c r="AL39" i="50"/>
  <c r="I8" i="222"/>
  <c r="I24" i="221"/>
  <c r="S51" i="143"/>
  <c r="U51" i="143" s="1"/>
  <c r="D47" i="19"/>
  <c r="I18" i="222" l="1"/>
  <c r="I24" i="222" s="1"/>
  <c r="F18" i="222"/>
  <c r="F24" i="222" s="1"/>
  <c r="F18" i="243"/>
  <c r="F24" i="243" s="1"/>
  <c r="G18" i="242"/>
  <c r="G24" i="242" s="1"/>
  <c r="G8" i="243"/>
  <c r="F24" i="242"/>
  <c r="G18" i="243" l="1"/>
  <c r="G24" i="243" s="1"/>
  <c r="O34" i="160"/>
  <c r="S34" i="160" s="1"/>
  <c r="O35" i="162"/>
  <c r="S35" i="162" s="1"/>
  <c r="O34" i="156"/>
  <c r="S34" i="156" s="1"/>
  <c r="O34" i="159"/>
  <c r="S34" i="159" s="1"/>
  <c r="D28" i="159"/>
  <c r="D28" i="160"/>
  <c r="L28" i="160"/>
  <c r="H28" i="160"/>
  <c r="H29" i="162"/>
  <c r="L29" i="162"/>
  <c r="L28" i="156"/>
  <c r="D29" i="162"/>
  <c r="H28" i="156"/>
  <c r="L28" i="159"/>
  <c r="H28" i="159"/>
  <c r="H27" i="160"/>
  <c r="L28" i="162"/>
  <c r="L27" i="159"/>
  <c r="D27" i="160"/>
  <c r="D28" i="162"/>
  <c r="D27" i="159"/>
  <c r="H28" i="162"/>
  <c r="L27" i="156"/>
  <c r="L27" i="160"/>
  <c r="H27" i="156"/>
  <c r="H27" i="159"/>
  <c r="D27" i="162"/>
  <c r="L26" i="156"/>
  <c r="H27" i="162"/>
  <c r="L26" i="159"/>
  <c r="L26" i="160"/>
  <c r="H26" i="160"/>
  <c r="D26" i="159"/>
  <c r="D26" i="160"/>
  <c r="H26" i="156"/>
  <c r="L27" i="162"/>
  <c r="H26" i="159"/>
  <c r="N35" i="162"/>
  <c r="N34" i="156"/>
  <c r="R34" i="156" s="1"/>
  <c r="N34" i="160"/>
  <c r="N34" i="159"/>
  <c r="R34" i="159" l="1"/>
  <c r="R34" i="160"/>
  <c r="R35" i="162"/>
  <c r="Z34" i="156" l="1"/>
  <c r="AD34" i="159"/>
  <c r="B16" i="162" l="1"/>
  <c r="B15" i="160"/>
  <c r="B15" i="159"/>
  <c r="D15" i="165" l="1"/>
  <c r="L28" i="165" l="1"/>
  <c r="H28" i="165"/>
  <c r="D28" i="165"/>
  <c r="D25" i="165"/>
  <c r="L25" i="165"/>
  <c r="H25" i="165"/>
  <c r="L27" i="165"/>
  <c r="H27" i="165"/>
  <c r="D27" i="165"/>
  <c r="L26" i="165"/>
  <c r="D26" i="165"/>
  <c r="H26" i="165"/>
  <c r="B26" i="159" l="1"/>
  <c r="J27" i="162"/>
  <c r="J26" i="160"/>
  <c r="B26" i="160"/>
  <c r="B27" i="162"/>
  <c r="F26" i="160"/>
  <c r="F27" i="162"/>
  <c r="J26" i="156"/>
  <c r="F26" i="156"/>
  <c r="J26" i="159"/>
  <c r="F26" i="159"/>
  <c r="B28" i="160" l="1"/>
  <c r="B28" i="159"/>
  <c r="B29" i="162"/>
  <c r="J29" i="162"/>
  <c r="F28" i="160"/>
  <c r="F28" i="156"/>
  <c r="J28" i="156"/>
  <c r="J28" i="160"/>
  <c r="F29" i="162"/>
  <c r="J28" i="159"/>
  <c r="F28" i="159"/>
  <c r="B28" i="162"/>
  <c r="F27" i="160"/>
  <c r="J28" i="162"/>
  <c r="J27" i="159"/>
  <c r="F27" i="156"/>
  <c r="B27" i="159"/>
  <c r="J27" i="160"/>
  <c r="B27" i="160"/>
  <c r="J27" i="156"/>
  <c r="F28" i="162"/>
  <c r="F27" i="159"/>
  <c r="J25" i="156"/>
  <c r="B25" i="159"/>
  <c r="F25" i="160"/>
  <c r="J25" i="159"/>
  <c r="F25" i="156"/>
  <c r="F26" i="162"/>
  <c r="J26" i="162"/>
  <c r="B25" i="160"/>
  <c r="B26" i="162"/>
  <c r="J25" i="160"/>
  <c r="F25" i="159"/>
  <c r="X26" i="165" l="1"/>
  <c r="X10" i="165"/>
  <c r="X29" i="165"/>
  <c r="X25" i="165"/>
  <c r="X21" i="165"/>
  <c r="X17" i="165"/>
  <c r="X13" i="165"/>
  <c r="X9" i="165"/>
  <c r="X7" i="165"/>
  <c r="X18" i="165"/>
  <c r="X28" i="165"/>
  <c r="X24" i="165"/>
  <c r="X20" i="165"/>
  <c r="X16" i="165"/>
  <c r="X12" i="165"/>
  <c r="X8" i="165"/>
  <c r="X22" i="165"/>
  <c r="X14" i="165"/>
  <c r="X27" i="165"/>
  <c r="X23" i="165"/>
  <c r="X19" i="165"/>
  <c r="X15" i="165"/>
  <c r="X11" i="165"/>
  <c r="X39" i="165" l="1"/>
  <c r="O33" i="162" l="1"/>
  <c r="S33" i="162" s="1"/>
  <c r="O32" i="160"/>
  <c r="S32" i="160" s="1"/>
  <c r="O32" i="156"/>
  <c r="S32" i="156" s="1"/>
  <c r="O32" i="159"/>
  <c r="S32" i="159" s="1"/>
  <c r="O33" i="156"/>
  <c r="S33" i="156" s="1"/>
  <c r="O34" i="162"/>
  <c r="S34" i="162" s="1"/>
  <c r="O33" i="160"/>
  <c r="S33" i="160" s="1"/>
  <c r="O33" i="159"/>
  <c r="S33" i="159" s="1"/>
  <c r="N34" i="162"/>
  <c r="N33" i="160"/>
  <c r="N33" i="156"/>
  <c r="R33" i="156" s="1"/>
  <c r="N33" i="159"/>
  <c r="N33" i="162"/>
  <c r="N32" i="156"/>
  <c r="R32" i="156" s="1"/>
  <c r="N32" i="160"/>
  <c r="N32" i="159"/>
  <c r="N31" i="156"/>
  <c r="R31" i="156" s="1"/>
  <c r="N32" i="162"/>
  <c r="N31" i="160"/>
  <c r="N31" i="159"/>
  <c r="D9" i="165" l="1"/>
  <c r="D12" i="162"/>
  <c r="D11" i="160"/>
  <c r="D11" i="159"/>
  <c r="X29" i="156"/>
  <c r="X29" i="159"/>
  <c r="D28" i="41"/>
  <c r="D20" i="41"/>
  <c r="X21" i="156"/>
  <c r="X21" i="159"/>
  <c r="D8" i="41"/>
  <c r="X9" i="156"/>
  <c r="X9" i="159"/>
  <c r="D8" i="165"/>
  <c r="D15" i="162"/>
  <c r="D14" i="160"/>
  <c r="D14" i="159"/>
  <c r="D10" i="160"/>
  <c r="D11" i="162"/>
  <c r="D10" i="159"/>
  <c r="X7" i="156"/>
  <c r="X7" i="159"/>
  <c r="D6" i="41"/>
  <c r="P34" i="156"/>
  <c r="T34" i="156" s="1"/>
  <c r="P35" i="162"/>
  <c r="P34" i="160"/>
  <c r="P34" i="159"/>
  <c r="P31" i="162"/>
  <c r="T31" i="162" s="1"/>
  <c r="P30" i="156"/>
  <c r="T30" i="156" s="1"/>
  <c r="P30" i="160"/>
  <c r="T30" i="160" s="1"/>
  <c r="P30" i="159"/>
  <c r="T30" i="159" s="1"/>
  <c r="P27" i="162"/>
  <c r="T27" i="162" s="1"/>
  <c r="P26" i="156"/>
  <c r="T26" i="156" s="1"/>
  <c r="P26" i="160"/>
  <c r="T26" i="160" s="1"/>
  <c r="P26" i="159"/>
  <c r="T26" i="159" s="1"/>
  <c r="X36" i="159"/>
  <c r="X36" i="156"/>
  <c r="D35" i="41"/>
  <c r="D31" i="41"/>
  <c r="X32" i="156"/>
  <c r="X32" i="159"/>
  <c r="X28" i="156"/>
  <c r="X28" i="159"/>
  <c r="D27" i="41"/>
  <c r="X24" i="156"/>
  <c r="D23" i="41"/>
  <c r="X24" i="159"/>
  <c r="D19" i="41"/>
  <c r="X20" i="156"/>
  <c r="X20" i="159"/>
  <c r="X16" i="156"/>
  <c r="D15" i="41"/>
  <c r="X16" i="159"/>
  <c r="X12" i="156"/>
  <c r="D11" i="41"/>
  <c r="X12" i="159"/>
  <c r="X8" i="156"/>
  <c r="D7" i="41"/>
  <c r="X8" i="159"/>
  <c r="D13" i="165"/>
  <c r="P27" i="160"/>
  <c r="T27" i="160" s="1"/>
  <c r="P28" i="162"/>
  <c r="T28" i="162" s="1"/>
  <c r="P27" i="156"/>
  <c r="T27" i="156" s="1"/>
  <c r="P27" i="159"/>
  <c r="T27" i="159" s="1"/>
  <c r="X33" i="156"/>
  <c r="X33" i="159"/>
  <c r="D32" i="41"/>
  <c r="X17" i="156"/>
  <c r="X17" i="159"/>
  <c r="D16" i="41"/>
  <c r="D12" i="165"/>
  <c r="D11" i="165"/>
  <c r="D14" i="162"/>
  <c r="D13" i="160"/>
  <c r="D13" i="159"/>
  <c r="D9" i="160"/>
  <c r="D10" i="162"/>
  <c r="D9" i="159"/>
  <c r="P34" i="162"/>
  <c r="T34" i="162" s="1"/>
  <c r="P33" i="156"/>
  <c r="T33" i="156" s="1"/>
  <c r="P33" i="160"/>
  <c r="T33" i="160" s="1"/>
  <c r="P33" i="159"/>
  <c r="T33" i="159" s="1"/>
  <c r="P30" i="162"/>
  <c r="T30" i="162" s="1"/>
  <c r="P29" i="156"/>
  <c r="T29" i="156" s="1"/>
  <c r="P29" i="160"/>
  <c r="T29" i="160" s="1"/>
  <c r="P29" i="159"/>
  <c r="T29" i="159" s="1"/>
  <c r="X35" i="156"/>
  <c r="D34" i="41"/>
  <c r="X35" i="159"/>
  <c r="X31" i="156"/>
  <c r="D30" i="41"/>
  <c r="X31" i="159"/>
  <c r="X27" i="156"/>
  <c r="X27" i="159"/>
  <c r="D26" i="41"/>
  <c r="X23" i="156"/>
  <c r="X23" i="159"/>
  <c r="D22" i="41"/>
  <c r="D18" i="41"/>
  <c r="X19" i="156"/>
  <c r="X19" i="159"/>
  <c r="D14" i="41"/>
  <c r="X15" i="156"/>
  <c r="X15" i="159"/>
  <c r="D10" i="41"/>
  <c r="X11" i="156"/>
  <c r="X11" i="159"/>
  <c r="D7" i="160"/>
  <c r="D7" i="162"/>
  <c r="D7" i="159"/>
  <c r="D16" i="162"/>
  <c r="D15" i="160"/>
  <c r="D15" i="159"/>
  <c r="P32" i="162"/>
  <c r="T32" i="162" s="1"/>
  <c r="P31" i="160"/>
  <c r="T31" i="160" s="1"/>
  <c r="P31" i="156"/>
  <c r="T31" i="156" s="1"/>
  <c r="P31" i="159"/>
  <c r="T31" i="159" s="1"/>
  <c r="X37" i="156"/>
  <c r="X37" i="159"/>
  <c r="D36" i="41"/>
  <c r="X25" i="156"/>
  <c r="D24" i="41"/>
  <c r="X25" i="159"/>
  <c r="X13" i="156"/>
  <c r="D12" i="41"/>
  <c r="X13" i="159"/>
  <c r="D7" i="165"/>
  <c r="D14" i="165"/>
  <c r="D10" i="165"/>
  <c r="D13" i="162"/>
  <c r="D12" i="160"/>
  <c r="D12" i="159"/>
  <c r="D8" i="162"/>
  <c r="D8" i="160"/>
  <c r="D9" i="162"/>
  <c r="D8" i="159"/>
  <c r="P33" i="162"/>
  <c r="T33" i="162" s="1"/>
  <c r="P32" i="156"/>
  <c r="T32" i="156" s="1"/>
  <c r="P32" i="160"/>
  <c r="T32" i="160" s="1"/>
  <c r="P32" i="159"/>
  <c r="T32" i="159" s="1"/>
  <c r="P29" i="162"/>
  <c r="T29" i="162" s="1"/>
  <c r="P28" i="160"/>
  <c r="T28" i="160" s="1"/>
  <c r="P28" i="156"/>
  <c r="T28" i="156" s="1"/>
  <c r="P28" i="159"/>
  <c r="T28" i="159" s="1"/>
  <c r="X34" i="156"/>
  <c r="D33" i="41"/>
  <c r="X34" i="159"/>
  <c r="X30" i="156"/>
  <c r="X30" i="159"/>
  <c r="D29" i="41"/>
  <c r="X26" i="156"/>
  <c r="D25" i="41"/>
  <c r="X26" i="159"/>
  <c r="D21" i="41"/>
  <c r="X22" i="156"/>
  <c r="X22" i="159"/>
  <c r="X18" i="156"/>
  <c r="D17" i="41"/>
  <c r="X18" i="159"/>
  <c r="X14" i="156"/>
  <c r="D13" i="41"/>
  <c r="X14" i="159"/>
  <c r="D9" i="41"/>
  <c r="X10" i="156"/>
  <c r="X10" i="159"/>
  <c r="R32" i="160"/>
  <c r="R31" i="159"/>
  <c r="R32" i="159"/>
  <c r="R33" i="162"/>
  <c r="R33" i="159"/>
  <c r="R33" i="160"/>
  <c r="R32" i="162"/>
  <c r="R31" i="160"/>
  <c r="R34" i="162"/>
  <c r="AB28" i="156" l="1"/>
  <c r="U33" i="162"/>
  <c r="Q32" i="156"/>
  <c r="Q33" i="156"/>
  <c r="Q33" i="159"/>
  <c r="Q33" i="160"/>
  <c r="Q33" i="162"/>
  <c r="Q32" i="160"/>
  <c r="U33" i="160"/>
  <c r="Q32" i="159"/>
  <c r="U32" i="160"/>
  <c r="P12" i="156"/>
  <c r="P13" i="162"/>
  <c r="P12" i="160"/>
  <c r="P12" i="159"/>
  <c r="L15" i="165"/>
  <c r="H13" i="165"/>
  <c r="H18" i="41"/>
  <c r="AB19" i="159"/>
  <c r="H26" i="41"/>
  <c r="AB27" i="159"/>
  <c r="AF27" i="159" s="1"/>
  <c r="H7" i="165"/>
  <c r="H7" i="156"/>
  <c r="H7" i="160"/>
  <c r="H7" i="162"/>
  <c r="H7" i="159"/>
  <c r="X39" i="156"/>
  <c r="X40" i="156"/>
  <c r="L10" i="160"/>
  <c r="L10" i="156"/>
  <c r="L11" i="162"/>
  <c r="L10" i="159"/>
  <c r="P17" i="165"/>
  <c r="P12" i="165"/>
  <c r="H28" i="41"/>
  <c r="AB29" i="159"/>
  <c r="L25" i="156"/>
  <c r="H25" i="160"/>
  <c r="L25" i="160"/>
  <c r="D26" i="162"/>
  <c r="D25" i="159"/>
  <c r="L25" i="159"/>
  <c r="H25" i="156"/>
  <c r="D25" i="160"/>
  <c r="H26" i="162"/>
  <c r="L26" i="162"/>
  <c r="H25" i="159"/>
  <c r="H13" i="41"/>
  <c r="AB14" i="159"/>
  <c r="H21" i="41"/>
  <c r="AB22" i="159"/>
  <c r="H29" i="41"/>
  <c r="AB30" i="159"/>
  <c r="H16" i="160"/>
  <c r="H17" i="162"/>
  <c r="H16" i="159"/>
  <c r="P24" i="156"/>
  <c r="P25" i="162"/>
  <c r="P24" i="160"/>
  <c r="P24" i="159"/>
  <c r="P8" i="162"/>
  <c r="P8" i="156"/>
  <c r="P8" i="160"/>
  <c r="P9" i="162"/>
  <c r="P8" i="159"/>
  <c r="D42" i="162"/>
  <c r="P19" i="165"/>
  <c r="P10" i="165"/>
  <c r="H14" i="165"/>
  <c r="P13" i="165"/>
  <c r="AB31" i="156"/>
  <c r="AB29" i="156"/>
  <c r="H17" i="160"/>
  <c r="H18" i="162"/>
  <c r="H17" i="159"/>
  <c r="D21" i="160"/>
  <c r="H21" i="160"/>
  <c r="H22" i="162"/>
  <c r="L21" i="160"/>
  <c r="L21" i="156"/>
  <c r="L22" i="162"/>
  <c r="D22" i="162"/>
  <c r="H21" i="156"/>
  <c r="D21" i="159"/>
  <c r="L21" i="159"/>
  <c r="H21" i="159"/>
  <c r="H9" i="156"/>
  <c r="H9" i="160"/>
  <c r="H10" i="162"/>
  <c r="H9" i="159"/>
  <c r="P13" i="156"/>
  <c r="P14" i="162"/>
  <c r="P13" i="160"/>
  <c r="P13" i="159"/>
  <c r="H16" i="165"/>
  <c r="D20" i="165"/>
  <c r="H20" i="165"/>
  <c r="L20" i="165"/>
  <c r="H11" i="165"/>
  <c r="P7" i="165"/>
  <c r="H16" i="41"/>
  <c r="AB17" i="159"/>
  <c r="P7" i="156"/>
  <c r="P7" i="160"/>
  <c r="P7" i="162"/>
  <c r="P7" i="159"/>
  <c r="H9" i="165"/>
  <c r="H11" i="41"/>
  <c r="AB12" i="159"/>
  <c r="H19" i="41"/>
  <c r="AB20" i="159"/>
  <c r="H27" i="41"/>
  <c r="AB28" i="159"/>
  <c r="AB36" i="156"/>
  <c r="AB36" i="159"/>
  <c r="H35" i="41"/>
  <c r="D38" i="41"/>
  <c r="D39" i="41"/>
  <c r="P23" i="162"/>
  <c r="P22" i="156"/>
  <c r="P22" i="160"/>
  <c r="P22" i="159"/>
  <c r="H10" i="156"/>
  <c r="H10" i="160"/>
  <c r="H11" i="162"/>
  <c r="H10" i="159"/>
  <c r="D17" i="165"/>
  <c r="L17" i="165"/>
  <c r="H8" i="165"/>
  <c r="L12" i="165"/>
  <c r="X41" i="159"/>
  <c r="D40" i="41"/>
  <c r="L11" i="156"/>
  <c r="L12" i="162"/>
  <c r="L11" i="160"/>
  <c r="L11" i="159"/>
  <c r="D43" i="162"/>
  <c r="P22" i="165"/>
  <c r="D20" i="160"/>
  <c r="L21" i="162"/>
  <c r="H20" i="156"/>
  <c r="H20" i="160"/>
  <c r="H21" i="162"/>
  <c r="L20" i="160"/>
  <c r="D20" i="159"/>
  <c r="D21" i="162"/>
  <c r="L20" i="156"/>
  <c r="H20" i="159"/>
  <c r="L20" i="159"/>
  <c r="D23" i="165"/>
  <c r="H23" i="165"/>
  <c r="L23" i="165"/>
  <c r="AB37" i="159"/>
  <c r="H36" i="41"/>
  <c r="D23" i="159"/>
  <c r="L23" i="156"/>
  <c r="D24" i="162"/>
  <c r="L24" i="162"/>
  <c r="H23" i="160"/>
  <c r="L23" i="160"/>
  <c r="H23" i="156"/>
  <c r="H24" i="162"/>
  <c r="D23" i="160"/>
  <c r="H23" i="159"/>
  <c r="L23" i="159"/>
  <c r="D41" i="162"/>
  <c r="H15" i="156"/>
  <c r="H16" i="162"/>
  <c r="H15" i="160"/>
  <c r="H15" i="159"/>
  <c r="H14" i="162"/>
  <c r="H13" i="156"/>
  <c r="H13" i="160"/>
  <c r="H13" i="159"/>
  <c r="P11" i="165"/>
  <c r="H18" i="165"/>
  <c r="L18" i="165"/>
  <c r="D18" i="165"/>
  <c r="AB30" i="156"/>
  <c r="P8" i="165"/>
  <c r="X41" i="156"/>
  <c r="P16" i="160"/>
  <c r="P16" i="156"/>
  <c r="P17" i="162"/>
  <c r="P16" i="159"/>
  <c r="L24" i="156"/>
  <c r="H24" i="156"/>
  <c r="H24" i="160"/>
  <c r="L24" i="160"/>
  <c r="D24" i="159"/>
  <c r="L25" i="162"/>
  <c r="H25" i="162"/>
  <c r="D25" i="162"/>
  <c r="D24" i="160"/>
  <c r="H24" i="159"/>
  <c r="L24" i="159"/>
  <c r="H13" i="162"/>
  <c r="H12" i="156"/>
  <c r="H12" i="160"/>
  <c r="H12" i="159"/>
  <c r="P15" i="165"/>
  <c r="D19" i="165"/>
  <c r="H19" i="165"/>
  <c r="L19" i="165"/>
  <c r="H10" i="165"/>
  <c r="L14" i="165"/>
  <c r="AB25" i="159"/>
  <c r="H24" i="41"/>
  <c r="AB37" i="156"/>
  <c r="L13" i="165"/>
  <c r="H14" i="41"/>
  <c r="AB15" i="159"/>
  <c r="H22" i="41"/>
  <c r="AB23" i="159"/>
  <c r="H30" i="41"/>
  <c r="AB31" i="159"/>
  <c r="D41" i="41"/>
  <c r="P18" i="162"/>
  <c r="P17" i="156"/>
  <c r="P17" i="160"/>
  <c r="P17" i="159"/>
  <c r="L16" i="162"/>
  <c r="L15" i="156"/>
  <c r="L15" i="160"/>
  <c r="L15" i="159"/>
  <c r="P9" i="156"/>
  <c r="P9" i="160"/>
  <c r="P10" i="162"/>
  <c r="P9" i="159"/>
  <c r="L13" i="156"/>
  <c r="L14" i="162"/>
  <c r="L13" i="160"/>
  <c r="L13" i="159"/>
  <c r="P16" i="165"/>
  <c r="P24" i="165"/>
  <c r="L11" i="165"/>
  <c r="P19" i="156"/>
  <c r="P19" i="160"/>
  <c r="P20" i="162"/>
  <c r="P19" i="159"/>
  <c r="L7" i="156"/>
  <c r="L7" i="160"/>
  <c r="L7" i="162"/>
  <c r="L7" i="159"/>
  <c r="P9" i="165"/>
  <c r="H7" i="41"/>
  <c r="AB8" i="159"/>
  <c r="AB32" i="156"/>
  <c r="AB26" i="156"/>
  <c r="T35" i="162"/>
  <c r="U35" i="162" s="1"/>
  <c r="Q35" i="162"/>
  <c r="AB7" i="159"/>
  <c r="H6" i="41"/>
  <c r="L6" i="41" s="1"/>
  <c r="H22" i="156"/>
  <c r="L23" i="162"/>
  <c r="H23" i="162"/>
  <c r="H22" i="160"/>
  <c r="D22" i="160"/>
  <c r="L22" i="160"/>
  <c r="D22" i="159"/>
  <c r="D23" i="162"/>
  <c r="L22" i="156"/>
  <c r="H22" i="159"/>
  <c r="L22" i="159"/>
  <c r="P15" i="162"/>
  <c r="P14" i="156"/>
  <c r="P14" i="160"/>
  <c r="P14" i="159"/>
  <c r="P21" i="165"/>
  <c r="L8" i="165"/>
  <c r="H20" i="41"/>
  <c r="AB21" i="159"/>
  <c r="H11" i="156"/>
  <c r="H11" i="160"/>
  <c r="H12" i="162"/>
  <c r="H11" i="159"/>
  <c r="H22" i="165"/>
  <c r="D22" i="165"/>
  <c r="L22" i="165"/>
  <c r="P25" i="160"/>
  <c r="P26" i="162"/>
  <c r="P25" i="156"/>
  <c r="P25" i="159"/>
  <c r="L16" i="160"/>
  <c r="L16" i="156"/>
  <c r="L17" i="162"/>
  <c r="L16" i="159"/>
  <c r="L8" i="162"/>
  <c r="L8" i="160"/>
  <c r="L8" i="156"/>
  <c r="L9" i="162"/>
  <c r="L8" i="159"/>
  <c r="P14" i="165"/>
  <c r="H12" i="41"/>
  <c r="AB13" i="159"/>
  <c r="H10" i="41"/>
  <c r="AB11" i="159"/>
  <c r="AB35" i="159"/>
  <c r="AF35" i="159" s="1"/>
  <c r="H34" i="41"/>
  <c r="L34" i="41" s="1"/>
  <c r="P21" i="160"/>
  <c r="P22" i="162"/>
  <c r="P21" i="156"/>
  <c r="P21" i="159"/>
  <c r="P20" i="165"/>
  <c r="AB27" i="156"/>
  <c r="T34" i="160"/>
  <c r="U34" i="160" s="1"/>
  <c r="Q34" i="160"/>
  <c r="D18" i="159"/>
  <c r="D18" i="160"/>
  <c r="H19" i="162"/>
  <c r="H18" i="160"/>
  <c r="D19" i="162"/>
  <c r="L18" i="156"/>
  <c r="L19" i="162"/>
  <c r="L18" i="160"/>
  <c r="H18" i="159"/>
  <c r="L18" i="159"/>
  <c r="H15" i="162"/>
  <c r="H14" i="156"/>
  <c r="H14" i="160"/>
  <c r="H14" i="159"/>
  <c r="H8" i="41"/>
  <c r="AB9" i="159"/>
  <c r="U34" i="162"/>
  <c r="Q34" i="162"/>
  <c r="H9" i="41"/>
  <c r="AB10" i="159"/>
  <c r="H17" i="41"/>
  <c r="AB18" i="159"/>
  <c r="H25" i="41"/>
  <c r="AB26" i="159"/>
  <c r="AB34" i="159"/>
  <c r="H33" i="41"/>
  <c r="P20" i="160"/>
  <c r="P21" i="162"/>
  <c r="P20" i="156"/>
  <c r="P20" i="159"/>
  <c r="H8" i="162"/>
  <c r="H8" i="160"/>
  <c r="H8" i="156"/>
  <c r="H9" i="162"/>
  <c r="H8" i="159"/>
  <c r="L12" i="156"/>
  <c r="L13" i="162"/>
  <c r="L12" i="160"/>
  <c r="L12" i="159"/>
  <c r="H15" i="165"/>
  <c r="P23" i="165"/>
  <c r="L10" i="165"/>
  <c r="P24" i="162"/>
  <c r="P23" i="156"/>
  <c r="P23" i="160"/>
  <c r="P23" i="159"/>
  <c r="X42" i="159"/>
  <c r="X42" i="156"/>
  <c r="AB35" i="156"/>
  <c r="AB33" i="156"/>
  <c r="D17" i="160"/>
  <c r="D17" i="159"/>
  <c r="D18" i="162"/>
  <c r="L17" i="160"/>
  <c r="L17" i="156"/>
  <c r="L18" i="162"/>
  <c r="L17" i="159"/>
  <c r="P15" i="156"/>
  <c r="P16" i="162"/>
  <c r="P15" i="160"/>
  <c r="P15" i="159"/>
  <c r="L9" i="160"/>
  <c r="L9" i="156"/>
  <c r="L10" i="162"/>
  <c r="L9" i="159"/>
  <c r="L16" i="165"/>
  <c r="D24" i="165"/>
  <c r="L24" i="165"/>
  <c r="H24" i="165"/>
  <c r="L7" i="165"/>
  <c r="H32" i="41"/>
  <c r="AB33" i="159"/>
  <c r="D20" i="162"/>
  <c r="L19" i="160"/>
  <c r="H20" i="162"/>
  <c r="L19" i="156"/>
  <c r="D19" i="160"/>
  <c r="D19" i="159"/>
  <c r="H19" i="156"/>
  <c r="L20" i="162"/>
  <c r="H19" i="160"/>
  <c r="H19" i="159"/>
  <c r="L19" i="159"/>
  <c r="P18" i="165"/>
  <c r="L9" i="165"/>
  <c r="H15" i="41"/>
  <c r="AB16" i="159"/>
  <c r="H23" i="41"/>
  <c r="AB24" i="159"/>
  <c r="H31" i="41"/>
  <c r="AB32" i="159"/>
  <c r="T34" i="159"/>
  <c r="Q34" i="159"/>
  <c r="U34" i="156"/>
  <c r="Q34" i="156"/>
  <c r="X39" i="159"/>
  <c r="X40" i="159"/>
  <c r="P18" i="160"/>
  <c r="P18" i="156"/>
  <c r="P19" i="162"/>
  <c r="P18" i="159"/>
  <c r="P10" i="160"/>
  <c r="P10" i="156"/>
  <c r="P11" i="162"/>
  <c r="P10" i="159"/>
  <c r="L15" i="162"/>
  <c r="L14" i="156"/>
  <c r="L14" i="160"/>
  <c r="L14" i="159"/>
  <c r="H17" i="165"/>
  <c r="D21" i="165"/>
  <c r="H21" i="165"/>
  <c r="L21" i="165"/>
  <c r="H12" i="165"/>
  <c r="P11" i="156"/>
  <c r="P12" i="162"/>
  <c r="P11" i="160"/>
  <c r="P11" i="159"/>
  <c r="U33" i="156"/>
  <c r="Z33" i="156"/>
  <c r="U32" i="159"/>
  <c r="AD32" i="159"/>
  <c r="AD31" i="159"/>
  <c r="Z32" i="156"/>
  <c r="U32" i="156"/>
  <c r="Z31" i="156"/>
  <c r="AD33" i="159"/>
  <c r="U33" i="159"/>
  <c r="T19" i="156" l="1"/>
  <c r="T17" i="156"/>
  <c r="AB17" i="156" s="1"/>
  <c r="T8" i="156"/>
  <c r="AB8" i="156" s="1"/>
  <c r="T16" i="156"/>
  <c r="AB16" i="156" s="1"/>
  <c r="T12" i="156"/>
  <c r="AB12" i="156" s="1"/>
  <c r="T10" i="156"/>
  <c r="AB10" i="156" s="1"/>
  <c r="T9" i="156"/>
  <c r="AB9" i="156" s="1"/>
  <c r="T14" i="156"/>
  <c r="AB14" i="156" s="1"/>
  <c r="T18" i="156"/>
  <c r="AB18" i="156" s="1"/>
  <c r="T24" i="156"/>
  <c r="AB24" i="156" s="1"/>
  <c r="T11" i="156"/>
  <c r="T22" i="156"/>
  <c r="AB22" i="156" s="1"/>
  <c r="T15" i="156"/>
  <c r="AB15" i="156" s="1"/>
  <c r="T20" i="156"/>
  <c r="AB20" i="156" s="1"/>
  <c r="T25" i="156"/>
  <c r="AB25" i="156" s="1"/>
  <c r="T13" i="156"/>
  <c r="AB13" i="156" s="1"/>
  <c r="T23" i="156"/>
  <c r="T21" i="156"/>
  <c r="T7" i="156"/>
  <c r="L29" i="41"/>
  <c r="L21" i="41"/>
  <c r="H43" i="162"/>
  <c r="T14" i="162"/>
  <c r="T7" i="165"/>
  <c r="D7" i="33" s="1"/>
  <c r="L16" i="41"/>
  <c r="T7" i="162"/>
  <c r="T7" i="159"/>
  <c r="AF7" i="159" s="1"/>
  <c r="T8" i="159"/>
  <c r="AF8" i="159" s="1"/>
  <c r="T14" i="159"/>
  <c r="AF14" i="159" s="1"/>
  <c r="L11" i="41"/>
  <c r="T17" i="159"/>
  <c r="AF17" i="159" s="1"/>
  <c r="T12" i="159"/>
  <c r="AF12" i="159" s="1"/>
  <c r="L28" i="41"/>
  <c r="AF36" i="159"/>
  <c r="L10" i="41"/>
  <c r="T10" i="159"/>
  <c r="AF10" i="159" s="1"/>
  <c r="L26" i="41"/>
  <c r="T24" i="162"/>
  <c r="T12" i="160"/>
  <c r="T25" i="162"/>
  <c r="T9" i="160"/>
  <c r="T10" i="162"/>
  <c r="L18" i="41"/>
  <c r="L30" i="41"/>
  <c r="L27" i="41"/>
  <c r="T11" i="159"/>
  <c r="AF11" i="159" s="1"/>
  <c r="T13" i="160"/>
  <c r="T15" i="160"/>
  <c r="L13" i="41"/>
  <c r="T14" i="165"/>
  <c r="D14" i="33" s="1"/>
  <c r="P43" i="162"/>
  <c r="T20" i="162"/>
  <c r="T13" i="162"/>
  <c r="T15" i="159"/>
  <c r="AF15" i="159" s="1"/>
  <c r="D39" i="165"/>
  <c r="T18" i="160"/>
  <c r="T13" i="159"/>
  <c r="AF13" i="159" s="1"/>
  <c r="T11" i="162"/>
  <c r="T15" i="162"/>
  <c r="L19" i="41"/>
  <c r="T8" i="160"/>
  <c r="T11" i="160"/>
  <c r="T23" i="162"/>
  <c r="T22" i="160"/>
  <c r="T21" i="162"/>
  <c r="T20" i="159"/>
  <c r="AF20" i="159" s="1"/>
  <c r="L43" i="162"/>
  <c r="AB19" i="156"/>
  <c r="T16" i="162"/>
  <c r="L31" i="41"/>
  <c r="T9" i="159"/>
  <c r="AF9" i="159" s="1"/>
  <c r="T10" i="160"/>
  <c r="AF37" i="159"/>
  <c r="T15" i="165"/>
  <c r="D15" i="33" s="1"/>
  <c r="T8" i="162"/>
  <c r="T14" i="160"/>
  <c r="P41" i="159"/>
  <c r="D39" i="160"/>
  <c r="L8" i="41"/>
  <c r="T23" i="160"/>
  <c r="T9" i="165"/>
  <c r="D9" i="33" s="1"/>
  <c r="T22" i="162"/>
  <c r="L41" i="156"/>
  <c r="H41" i="160"/>
  <c r="T19" i="162"/>
  <c r="L40" i="156"/>
  <c r="L39" i="156"/>
  <c r="T16" i="165"/>
  <c r="D16" i="33" s="1"/>
  <c r="G10" i="187"/>
  <c r="G20" i="187" s="1"/>
  <c r="D40" i="160"/>
  <c r="AF29" i="159"/>
  <c r="H39" i="165"/>
  <c r="AF34" i="159"/>
  <c r="U34" i="159"/>
  <c r="T19" i="159"/>
  <c r="AF19" i="159" s="1"/>
  <c r="L39" i="165"/>
  <c r="T17" i="160"/>
  <c r="T18" i="159"/>
  <c r="AF18" i="159" s="1"/>
  <c r="P41" i="160"/>
  <c r="D40" i="159"/>
  <c r="L12" i="41"/>
  <c r="H40" i="41"/>
  <c r="AF26" i="159"/>
  <c r="L7" i="41"/>
  <c r="L39" i="159"/>
  <c r="L40" i="159"/>
  <c r="L40" i="160"/>
  <c r="L39" i="160"/>
  <c r="L24" i="41"/>
  <c r="T24" i="160"/>
  <c r="T8" i="165"/>
  <c r="D8" i="33" s="1"/>
  <c r="T20" i="160"/>
  <c r="T12" i="162"/>
  <c r="L20" i="41"/>
  <c r="G10" i="191"/>
  <c r="G20" i="191" s="1"/>
  <c r="L35" i="41"/>
  <c r="L23" i="41"/>
  <c r="L41" i="159"/>
  <c r="T10" i="165"/>
  <c r="D10" i="33" s="1"/>
  <c r="P42" i="162"/>
  <c r="AB34" i="156"/>
  <c r="L25" i="41"/>
  <c r="T25" i="160"/>
  <c r="F10" i="187"/>
  <c r="F20" i="187" s="1"/>
  <c r="AF30" i="159"/>
  <c r="H41" i="162"/>
  <c r="H40" i="162"/>
  <c r="L9" i="41"/>
  <c r="T11" i="165"/>
  <c r="D11" i="33" s="1"/>
  <c r="D40" i="162"/>
  <c r="H41" i="159"/>
  <c r="I10" i="191"/>
  <c r="I20" i="191" s="1"/>
  <c r="T19" i="160"/>
  <c r="AB42" i="156"/>
  <c r="T23" i="165"/>
  <c r="D23" i="33" s="1"/>
  <c r="H42" i="162"/>
  <c r="P41" i="156"/>
  <c r="H41" i="41"/>
  <c r="L42" i="162"/>
  <c r="T16" i="160"/>
  <c r="T25" i="159"/>
  <c r="AF25" i="159" s="1"/>
  <c r="T21" i="165"/>
  <c r="D21" i="33" s="1"/>
  <c r="H39" i="41"/>
  <c r="H38" i="41"/>
  <c r="L32" i="41"/>
  <c r="P25" i="165"/>
  <c r="T25" i="165" s="1"/>
  <c r="D25" i="33" s="1"/>
  <c r="AF32" i="159"/>
  <c r="T18" i="165"/>
  <c r="D18" i="33" s="1"/>
  <c r="T23" i="159"/>
  <c r="AF23" i="159" s="1"/>
  <c r="P41" i="162"/>
  <c r="P40" i="162"/>
  <c r="P40" i="156"/>
  <c r="P39" i="156"/>
  <c r="D41" i="159"/>
  <c r="T21" i="159"/>
  <c r="L41" i="160"/>
  <c r="T7" i="160"/>
  <c r="AF31" i="159"/>
  <c r="T12" i="165"/>
  <c r="D12" i="33" s="1"/>
  <c r="T17" i="165"/>
  <c r="D17" i="33" s="1"/>
  <c r="I10" i="187"/>
  <c r="I20" i="187" s="1"/>
  <c r="H40" i="159"/>
  <c r="H39" i="159"/>
  <c r="H39" i="160"/>
  <c r="H40" i="160"/>
  <c r="H40" i="156"/>
  <c r="H39" i="156"/>
  <c r="F10" i="191"/>
  <c r="F20" i="191" s="1"/>
  <c r="L41" i="162"/>
  <c r="L40" i="162"/>
  <c r="D44" i="162"/>
  <c r="T24" i="159"/>
  <c r="AF24" i="159" s="1"/>
  <c r="C10" i="193"/>
  <c r="C20" i="193" s="1"/>
  <c r="T26" i="162"/>
  <c r="T18" i="162"/>
  <c r="AF33" i="159"/>
  <c r="L33" i="41"/>
  <c r="T20" i="165"/>
  <c r="D20" i="33" s="1"/>
  <c r="AB42" i="159"/>
  <c r="D39" i="159"/>
  <c r="T16" i="159"/>
  <c r="AF16" i="159" s="1"/>
  <c r="T17" i="162"/>
  <c r="AB11" i="156"/>
  <c r="AB41" i="159"/>
  <c r="AB39" i="159"/>
  <c r="AB40" i="159"/>
  <c r="T24" i="165"/>
  <c r="D24" i="33" s="1"/>
  <c r="L44" i="162"/>
  <c r="L15" i="41"/>
  <c r="H44" i="162"/>
  <c r="AB23" i="156"/>
  <c r="L36" i="41"/>
  <c r="T22" i="165"/>
  <c r="D22" i="33" s="1"/>
  <c r="T22" i="159"/>
  <c r="AF22" i="159" s="1"/>
  <c r="E10" i="193"/>
  <c r="E20" i="193" s="1"/>
  <c r="P40" i="159"/>
  <c r="P39" i="159"/>
  <c r="P39" i="160"/>
  <c r="P40" i="160"/>
  <c r="P44" i="162"/>
  <c r="H41" i="156"/>
  <c r="D41" i="160"/>
  <c r="T21" i="160"/>
  <c r="L22" i="41"/>
  <c r="L14" i="41"/>
  <c r="T13" i="165"/>
  <c r="D13" i="33" s="1"/>
  <c r="T19" i="165"/>
  <c r="D19" i="33" s="1"/>
  <c r="T9" i="162"/>
  <c r="AF28" i="159"/>
  <c r="F10" i="221" l="1"/>
  <c r="F20" i="221" s="1"/>
  <c r="I10" i="221"/>
  <c r="G10" i="221"/>
  <c r="G20" i="221" s="1"/>
  <c r="L12" i="33"/>
  <c r="L13" i="33"/>
  <c r="L8" i="33"/>
  <c r="L19" i="33"/>
  <c r="L25" i="33"/>
  <c r="L24" i="33"/>
  <c r="L21" i="33"/>
  <c r="L20" i="33"/>
  <c r="L23" i="33"/>
  <c r="L22" i="33"/>
  <c r="L17" i="33"/>
  <c r="L18" i="33"/>
  <c r="L11" i="33"/>
  <c r="L10" i="33"/>
  <c r="L16" i="33"/>
  <c r="AB14" i="165"/>
  <c r="L14" i="33"/>
  <c r="AB9" i="165"/>
  <c r="L9" i="33"/>
  <c r="AB15" i="165"/>
  <c r="L15" i="33"/>
  <c r="AB7" i="165"/>
  <c r="L7" i="33"/>
  <c r="T41" i="162"/>
  <c r="T42" i="162"/>
  <c r="T43" i="162"/>
  <c r="T44" i="162"/>
  <c r="T41" i="160"/>
  <c r="L41" i="41"/>
  <c r="AF42" i="159"/>
  <c r="F26" i="191"/>
  <c r="F10" i="192"/>
  <c r="F20" i="192" s="1"/>
  <c r="I10" i="194"/>
  <c r="I20" i="194" s="1"/>
  <c r="I26" i="187"/>
  <c r="AB24" i="165"/>
  <c r="AB20" i="165"/>
  <c r="C10" i="184"/>
  <c r="C20" i="184" s="1"/>
  <c r="C26" i="193"/>
  <c r="AB7" i="156"/>
  <c r="T40" i="156"/>
  <c r="B10" i="187" s="1"/>
  <c r="B20" i="187" s="1"/>
  <c r="T39" i="156"/>
  <c r="E10" i="187" s="1"/>
  <c r="E20" i="187" s="1"/>
  <c r="T39" i="160"/>
  <c r="E10" i="190" s="1"/>
  <c r="E20" i="190" s="1"/>
  <c r="T40" i="160"/>
  <c r="B10" i="190" s="1"/>
  <c r="B20" i="190" s="1"/>
  <c r="AB18" i="165"/>
  <c r="AB23" i="165"/>
  <c r="AB10" i="165"/>
  <c r="L40" i="41"/>
  <c r="AB8" i="165"/>
  <c r="G10" i="194"/>
  <c r="G20" i="194" s="1"/>
  <c r="G26" i="187"/>
  <c r="AF40" i="159"/>
  <c r="N10" i="191" s="1"/>
  <c r="N20" i="191" s="1"/>
  <c r="P26" i="165"/>
  <c r="T26" i="165" s="1"/>
  <c r="D26" i="33" s="1"/>
  <c r="F10" i="194"/>
  <c r="F20" i="194" s="1"/>
  <c r="F26" i="187"/>
  <c r="G10" i="192"/>
  <c r="G20" i="192" s="1"/>
  <c r="G26" i="191"/>
  <c r="AB13" i="165"/>
  <c r="AB22" i="165"/>
  <c r="AB17" i="165"/>
  <c r="T41" i="159"/>
  <c r="C10" i="191" s="1"/>
  <c r="C20" i="191" s="1"/>
  <c r="AF21" i="159"/>
  <c r="AF41" i="159" s="1"/>
  <c r="O10" i="191" s="1"/>
  <c r="O20" i="191" s="1"/>
  <c r="AB25" i="165"/>
  <c r="AB21" i="165"/>
  <c r="AB16" i="165"/>
  <c r="T40" i="159"/>
  <c r="B10" i="191" s="1"/>
  <c r="B20" i="191" s="1"/>
  <c r="L38" i="41"/>
  <c r="T40" i="162"/>
  <c r="AB19" i="165"/>
  <c r="AB11" i="165"/>
  <c r="T41" i="156"/>
  <c r="C10" i="187" s="1"/>
  <c r="C20" i="187" s="1"/>
  <c r="AB21" i="156"/>
  <c r="AB41" i="156" s="1"/>
  <c r="K10" i="187" s="1"/>
  <c r="K20" i="187" s="1"/>
  <c r="E26" i="193"/>
  <c r="E10" i="184"/>
  <c r="E20" i="184" s="1"/>
  <c r="AB12" i="165"/>
  <c r="I10" i="192"/>
  <c r="I20" i="192" s="1"/>
  <c r="I26" i="191"/>
  <c r="T39" i="159"/>
  <c r="E10" i="191" s="1"/>
  <c r="E20" i="191" s="1"/>
  <c r="L39" i="41"/>
  <c r="I20" i="221" l="1"/>
  <c r="I26" i="221" s="1"/>
  <c r="F10" i="242"/>
  <c r="G10" i="242" s="1"/>
  <c r="G20" i="242" s="1"/>
  <c r="G26" i="242" s="1"/>
  <c r="C20" i="223"/>
  <c r="I20" i="223"/>
  <c r="D20" i="223"/>
  <c r="B20" i="223"/>
  <c r="F11" i="175"/>
  <c r="P11" i="175"/>
  <c r="D11" i="175"/>
  <c r="D10" i="224" s="1"/>
  <c r="N11" i="175"/>
  <c r="O26" i="191"/>
  <c r="B26" i="190"/>
  <c r="B10" i="221"/>
  <c r="C10" i="221"/>
  <c r="C20" i="221" s="1"/>
  <c r="E10" i="221"/>
  <c r="K10" i="194"/>
  <c r="K20" i="194" s="1"/>
  <c r="K26" i="187"/>
  <c r="I10" i="184"/>
  <c r="I20" i="184" s="1"/>
  <c r="E10" i="194"/>
  <c r="E20" i="194" s="1"/>
  <c r="E26" i="187"/>
  <c r="C10" i="194"/>
  <c r="C20" i="194" s="1"/>
  <c r="C26" i="187"/>
  <c r="B10" i="192"/>
  <c r="B20" i="192" s="1"/>
  <c r="B26" i="191"/>
  <c r="C26" i="191"/>
  <c r="C10" i="192"/>
  <c r="C20" i="192" s="1"/>
  <c r="F26" i="221"/>
  <c r="F10" i="222"/>
  <c r="G26" i="194"/>
  <c r="K10" i="193"/>
  <c r="B10" i="194"/>
  <c r="B20" i="194" s="1"/>
  <c r="B26" i="187"/>
  <c r="C26" i="184"/>
  <c r="I10" i="222"/>
  <c r="O10" i="192"/>
  <c r="O20" i="192" s="1"/>
  <c r="P27" i="165"/>
  <c r="T27" i="165" s="1"/>
  <c r="D27" i="33" s="1"/>
  <c r="F26" i="192"/>
  <c r="E26" i="184"/>
  <c r="M10" i="193"/>
  <c r="M20" i="193" s="1"/>
  <c r="G26" i="192"/>
  <c r="H10" i="184"/>
  <c r="H20" i="184" s="1"/>
  <c r="N26" i="191"/>
  <c r="N10" i="192"/>
  <c r="N20" i="192" s="1"/>
  <c r="G10" i="184"/>
  <c r="G20" i="184" s="1"/>
  <c r="B10" i="189"/>
  <c r="B20" i="189" s="1"/>
  <c r="AB40" i="156"/>
  <c r="J10" i="187" s="1"/>
  <c r="J20" i="187" s="1"/>
  <c r="AB39" i="156"/>
  <c r="M10" i="187" s="1"/>
  <c r="M20" i="187" s="1"/>
  <c r="I26" i="194"/>
  <c r="I26" i="192"/>
  <c r="F26" i="194"/>
  <c r="E10" i="192"/>
  <c r="E20" i="192" s="1"/>
  <c r="E26" i="191"/>
  <c r="G26" i="221"/>
  <c r="G10" i="222"/>
  <c r="AB26" i="165"/>
  <c r="AF39" i="159"/>
  <c r="Q10" i="191" s="1"/>
  <c r="Q20" i="191" s="1"/>
  <c r="E10" i="189"/>
  <c r="E20" i="189" s="1"/>
  <c r="E26" i="190"/>
  <c r="L10" i="184"/>
  <c r="L20" i="184" s="1"/>
  <c r="N29" i="162"/>
  <c r="N28" i="156"/>
  <c r="R28" i="156" s="1"/>
  <c r="N28" i="160"/>
  <c r="N28" i="159"/>
  <c r="N30" i="160"/>
  <c r="N31" i="162"/>
  <c r="N30" i="156"/>
  <c r="R30" i="156" s="1"/>
  <c r="N30" i="159"/>
  <c r="N28" i="162"/>
  <c r="N27" i="156"/>
  <c r="R27" i="156" s="1"/>
  <c r="N27" i="160"/>
  <c r="N27" i="159"/>
  <c r="F20" i="222" l="1"/>
  <c r="G20" i="222"/>
  <c r="I20" i="222"/>
  <c r="I26" i="222" s="1"/>
  <c r="E20" i="221"/>
  <c r="E26" i="221" s="1"/>
  <c r="C10" i="242"/>
  <c r="B20" i="221"/>
  <c r="B26" i="221" s="1"/>
  <c r="F10" i="243"/>
  <c r="F20" i="242"/>
  <c r="G10" i="243"/>
  <c r="N22" i="175"/>
  <c r="N28" i="175" s="1"/>
  <c r="N10" i="224"/>
  <c r="N21" i="224" s="1"/>
  <c r="P22" i="175"/>
  <c r="P28" i="175" s="1"/>
  <c r="P10" i="224"/>
  <c r="P21" i="224" s="1"/>
  <c r="F22" i="175"/>
  <c r="F28" i="175" s="1"/>
  <c r="F10" i="224"/>
  <c r="F11" i="199"/>
  <c r="F22" i="199" s="1"/>
  <c r="F28" i="199" s="1"/>
  <c r="D21" i="224"/>
  <c r="D22" i="175"/>
  <c r="D28" i="175" s="1"/>
  <c r="J20" i="223"/>
  <c r="O10" i="221"/>
  <c r="O20" i="221" s="1"/>
  <c r="K20" i="193"/>
  <c r="K26" i="193" s="1"/>
  <c r="H20" i="223"/>
  <c r="D11" i="199"/>
  <c r="N11" i="199"/>
  <c r="O21" i="224"/>
  <c r="N10" i="221"/>
  <c r="N20" i="221" s="1"/>
  <c r="Q10" i="221"/>
  <c r="Q20" i="221" s="1"/>
  <c r="M21" i="224"/>
  <c r="L21" i="224"/>
  <c r="C21" i="224"/>
  <c r="P11" i="199"/>
  <c r="E26" i="189"/>
  <c r="B26" i="189"/>
  <c r="O26" i="192"/>
  <c r="B26" i="192"/>
  <c r="E26" i="192"/>
  <c r="C26" i="192"/>
  <c r="N26" i="192"/>
  <c r="B26" i="194"/>
  <c r="K26" i="194"/>
  <c r="C26" i="194"/>
  <c r="E26" i="194"/>
  <c r="N28" i="233"/>
  <c r="M28" i="233"/>
  <c r="C28" i="233"/>
  <c r="F28" i="233"/>
  <c r="B28" i="233"/>
  <c r="D28" i="233"/>
  <c r="O28" i="233"/>
  <c r="E28" i="233"/>
  <c r="O32" i="162"/>
  <c r="O31" i="160"/>
  <c r="O31" i="156"/>
  <c r="S31" i="156" s="1"/>
  <c r="O31" i="159"/>
  <c r="O31" i="162"/>
  <c r="S31" i="162" s="1"/>
  <c r="O30" i="160"/>
  <c r="S30" i="160" s="1"/>
  <c r="O30" i="156"/>
  <c r="S30" i="156" s="1"/>
  <c r="O30" i="159"/>
  <c r="S30" i="159" s="1"/>
  <c r="H26" i="184"/>
  <c r="I26" i="184"/>
  <c r="I10" i="220"/>
  <c r="I26" i="223"/>
  <c r="D10" i="220"/>
  <c r="D26" i="223"/>
  <c r="C26" i="223"/>
  <c r="C10" i="220"/>
  <c r="J10" i="194"/>
  <c r="J20" i="194" s="1"/>
  <c r="J26" i="187"/>
  <c r="M10" i="184"/>
  <c r="M20" i="184" s="1"/>
  <c r="M26" i="193"/>
  <c r="B10" i="220"/>
  <c r="B26" i="223"/>
  <c r="K10" i="184"/>
  <c r="K20" i="184" s="1"/>
  <c r="E10" i="222"/>
  <c r="M10" i="194"/>
  <c r="M20" i="194" s="1"/>
  <c r="M26" i="187"/>
  <c r="AB27" i="165"/>
  <c r="Q26" i="191"/>
  <c r="Q10" i="192"/>
  <c r="Q20" i="192" s="1"/>
  <c r="G26" i="222"/>
  <c r="B10" i="222"/>
  <c r="G26" i="184"/>
  <c r="P28" i="165"/>
  <c r="T28" i="165" s="1"/>
  <c r="D28" i="33" s="1"/>
  <c r="C10" i="222"/>
  <c r="C26" i="221"/>
  <c r="F26" i="222"/>
  <c r="L26" i="184"/>
  <c r="B7" i="160"/>
  <c r="B7" i="162"/>
  <c r="B7" i="159"/>
  <c r="N10" i="162"/>
  <c r="N9" i="160"/>
  <c r="N9" i="156"/>
  <c r="N9" i="159"/>
  <c r="N25" i="160"/>
  <c r="N25" i="156"/>
  <c r="R25" i="156" s="1"/>
  <c r="N26" i="162"/>
  <c r="N25" i="159"/>
  <c r="B8" i="165"/>
  <c r="B8" i="162"/>
  <c r="B8" i="160"/>
  <c r="B9" i="162"/>
  <c r="B8" i="159"/>
  <c r="N8" i="162"/>
  <c r="N9" i="162"/>
  <c r="N8" i="156"/>
  <c r="N8" i="160"/>
  <c r="N8" i="159"/>
  <c r="N14" i="162"/>
  <c r="N13" i="156"/>
  <c r="N13" i="160"/>
  <c r="N13" i="159"/>
  <c r="N18" i="160"/>
  <c r="N19" i="162"/>
  <c r="N18" i="156"/>
  <c r="N18" i="159"/>
  <c r="N25" i="162"/>
  <c r="N24" i="156"/>
  <c r="N24" i="160"/>
  <c r="N24" i="159"/>
  <c r="R27" i="159"/>
  <c r="R30" i="159"/>
  <c r="R31" i="162"/>
  <c r="R28" i="159"/>
  <c r="B15" i="162"/>
  <c r="B14" i="160"/>
  <c r="B14" i="159"/>
  <c r="R30" i="160"/>
  <c r="N7" i="156"/>
  <c r="N7" i="160"/>
  <c r="N7" i="162"/>
  <c r="N7" i="159"/>
  <c r="N12" i="156"/>
  <c r="N12" i="160"/>
  <c r="N13" i="162"/>
  <c r="N12" i="159"/>
  <c r="N15" i="162"/>
  <c r="N14" i="156"/>
  <c r="N14" i="160"/>
  <c r="N14" i="159"/>
  <c r="N22" i="156"/>
  <c r="N23" i="162"/>
  <c r="N22" i="160"/>
  <c r="N22" i="159"/>
  <c r="N27" i="162"/>
  <c r="N26" i="160"/>
  <c r="N26" i="156"/>
  <c r="R26" i="156" s="1"/>
  <c r="N26" i="159"/>
  <c r="R27" i="160"/>
  <c r="B7" i="165"/>
  <c r="N20" i="162"/>
  <c r="N19" i="160"/>
  <c r="N19" i="156"/>
  <c r="N19" i="159"/>
  <c r="B14" i="162"/>
  <c r="B13" i="160"/>
  <c r="B13" i="159"/>
  <c r="N15" i="156"/>
  <c r="N16" i="162"/>
  <c r="N15" i="160"/>
  <c r="N15" i="159"/>
  <c r="N23" i="160"/>
  <c r="N24" i="162"/>
  <c r="N23" i="156"/>
  <c r="N23" i="159"/>
  <c r="N30" i="162"/>
  <c r="N29" i="156"/>
  <c r="R29" i="156" s="1"/>
  <c r="N29" i="160"/>
  <c r="N29" i="159"/>
  <c r="R28" i="162"/>
  <c r="R28" i="160"/>
  <c r="R29" i="162"/>
  <c r="G20" i="243" l="1"/>
  <c r="G26" i="243" s="1"/>
  <c r="E20" i="222"/>
  <c r="E26" i="222" s="1"/>
  <c r="B20" i="220"/>
  <c r="B26" i="220" s="1"/>
  <c r="D20" i="220"/>
  <c r="D26" i="220" s="1"/>
  <c r="F20" i="243"/>
  <c r="F26" i="243" s="1"/>
  <c r="C20" i="222"/>
  <c r="I20" i="220"/>
  <c r="I26" i="220" s="1"/>
  <c r="B20" i="222"/>
  <c r="B26" i="222" s="1"/>
  <c r="C20" i="220"/>
  <c r="F26" i="242"/>
  <c r="C20" i="242"/>
  <c r="C26" i="242" s="1"/>
  <c r="C10" i="243"/>
  <c r="I10" i="242"/>
  <c r="D22" i="199"/>
  <c r="D28" i="199" s="1"/>
  <c r="E21" i="224"/>
  <c r="E27" i="224" s="1"/>
  <c r="N22" i="199"/>
  <c r="N28" i="199" s="1"/>
  <c r="B10" i="225"/>
  <c r="B21" i="224"/>
  <c r="B27" i="224" s="1"/>
  <c r="F21" i="224"/>
  <c r="F27" i="224" s="1"/>
  <c r="P22" i="199"/>
  <c r="P28" i="199" s="1"/>
  <c r="E10" i="225"/>
  <c r="F10" i="225"/>
  <c r="L27" i="33"/>
  <c r="C26" i="222"/>
  <c r="C26" i="220"/>
  <c r="O26" i="221"/>
  <c r="O10" i="222"/>
  <c r="Q26" i="192"/>
  <c r="M26" i="194"/>
  <c r="J26" i="194"/>
  <c r="N28" i="234"/>
  <c r="E28" i="234"/>
  <c r="D28" i="234"/>
  <c r="C28" i="234"/>
  <c r="F28" i="234"/>
  <c r="O28" i="234"/>
  <c r="B28" i="234"/>
  <c r="M28" i="234"/>
  <c r="L28" i="233"/>
  <c r="P28" i="233"/>
  <c r="D10" i="225"/>
  <c r="D27" i="224"/>
  <c r="O27" i="224"/>
  <c r="C10" i="225"/>
  <c r="C27" i="224"/>
  <c r="M27" i="224"/>
  <c r="N10" i="225"/>
  <c r="N27" i="224"/>
  <c r="M10" i="225"/>
  <c r="O10" i="225"/>
  <c r="Q30" i="160"/>
  <c r="Q30" i="156"/>
  <c r="Q30" i="159"/>
  <c r="Q31" i="162"/>
  <c r="U31" i="162"/>
  <c r="S31" i="159"/>
  <c r="Q31" i="159"/>
  <c r="S32" i="162"/>
  <c r="U32" i="162" s="1"/>
  <c r="Q32" i="162"/>
  <c r="U30" i="160"/>
  <c r="Q31" i="156"/>
  <c r="S31" i="160"/>
  <c r="U31" i="160" s="1"/>
  <c r="Q31" i="160"/>
  <c r="J26" i="223"/>
  <c r="J10" i="220"/>
  <c r="N26" i="221"/>
  <c r="N10" i="222"/>
  <c r="M26" i="184"/>
  <c r="P29" i="165"/>
  <c r="H26" i="223"/>
  <c r="H10" i="220"/>
  <c r="L26" i="33"/>
  <c r="AB28" i="165"/>
  <c r="Q10" i="222"/>
  <c r="Q26" i="221"/>
  <c r="K26" i="184"/>
  <c r="Z28" i="156"/>
  <c r="Z27" i="156"/>
  <c r="N10" i="160"/>
  <c r="N11" i="162"/>
  <c r="N10" i="156"/>
  <c r="N10" i="159"/>
  <c r="B13" i="162"/>
  <c r="B12" i="160"/>
  <c r="B12" i="159"/>
  <c r="R29" i="159"/>
  <c r="N41" i="162"/>
  <c r="AD30" i="159"/>
  <c r="U30" i="159"/>
  <c r="R25" i="160"/>
  <c r="N12" i="162"/>
  <c r="N11" i="160"/>
  <c r="N11" i="156"/>
  <c r="N11" i="159"/>
  <c r="R29" i="160"/>
  <c r="R25" i="159"/>
  <c r="N22" i="162"/>
  <c r="N21" i="160"/>
  <c r="N21" i="156"/>
  <c r="N21" i="159"/>
  <c r="R26" i="160"/>
  <c r="AD28" i="159"/>
  <c r="AD27" i="159"/>
  <c r="R26" i="162"/>
  <c r="Z30" i="156"/>
  <c r="U30" i="156"/>
  <c r="R26" i="159"/>
  <c r="N18" i="162"/>
  <c r="N17" i="156"/>
  <c r="N17" i="160"/>
  <c r="N17" i="159"/>
  <c r="N16" i="160"/>
  <c r="N17" i="162"/>
  <c r="N16" i="156"/>
  <c r="N16" i="159"/>
  <c r="N20" i="156"/>
  <c r="N21" i="162"/>
  <c r="N20" i="160"/>
  <c r="N20" i="159"/>
  <c r="R30" i="162"/>
  <c r="R27" i="162"/>
  <c r="B41" i="162"/>
  <c r="C21" i="225" l="1"/>
  <c r="N20" i="222"/>
  <c r="O20" i="222"/>
  <c r="E21" i="225"/>
  <c r="E27" i="225" s="1"/>
  <c r="H20" i="220"/>
  <c r="N21" i="225"/>
  <c r="N27" i="225" s="1"/>
  <c r="C20" i="243"/>
  <c r="C26" i="243" s="1"/>
  <c r="Q20" i="222"/>
  <c r="Q26" i="222" s="1"/>
  <c r="O21" i="225"/>
  <c r="J20" i="220"/>
  <c r="J26" i="220" s="1"/>
  <c r="M21" i="225"/>
  <c r="D21" i="225"/>
  <c r="D27" i="225" s="1"/>
  <c r="I10" i="243"/>
  <c r="I20" i="242"/>
  <c r="I26" i="242" s="1"/>
  <c r="B21" i="225"/>
  <c r="B27" i="225" s="1"/>
  <c r="F21" i="225"/>
  <c r="F27" i="225" s="1"/>
  <c r="L28" i="33"/>
  <c r="N26" i="222"/>
  <c r="O26" i="222"/>
  <c r="H26" i="220"/>
  <c r="P28" i="234"/>
  <c r="L28" i="234"/>
  <c r="M27" i="225"/>
  <c r="C27" i="225"/>
  <c r="O27" i="225"/>
  <c r="L27" i="224"/>
  <c r="P27" i="224"/>
  <c r="L10" i="225"/>
  <c r="P10" i="225"/>
  <c r="U31" i="159"/>
  <c r="U31" i="156"/>
  <c r="N40" i="162"/>
  <c r="N39" i="159"/>
  <c r="N44" i="162"/>
  <c r="N40" i="159"/>
  <c r="T29" i="165"/>
  <c r="D29" i="33" s="1"/>
  <c r="P39" i="165"/>
  <c r="AD25" i="159"/>
  <c r="B9" i="165"/>
  <c r="Z25" i="156"/>
  <c r="Z29" i="156"/>
  <c r="AD26" i="159"/>
  <c r="N41" i="156"/>
  <c r="AD29" i="159"/>
  <c r="B9" i="160"/>
  <c r="B10" i="162"/>
  <c r="B9" i="159"/>
  <c r="N40" i="156"/>
  <c r="N40" i="160"/>
  <c r="N41" i="159"/>
  <c r="N41" i="160"/>
  <c r="N43" i="162"/>
  <c r="Z26" i="156"/>
  <c r="N39" i="156"/>
  <c r="N39" i="160"/>
  <c r="N42" i="162"/>
  <c r="P21" i="225" l="1"/>
  <c r="P27" i="225" s="1"/>
  <c r="I20" i="243"/>
  <c r="I26" i="243" s="1"/>
  <c r="L21" i="225"/>
  <c r="L27" i="225" s="1"/>
  <c r="AB29" i="165"/>
  <c r="AB39" i="165" s="1"/>
  <c r="B10" i="42" s="1"/>
  <c r="B21" i="42" s="1"/>
  <c r="T39" i="165"/>
  <c r="B10" i="165"/>
  <c r="B10" i="160"/>
  <c r="B11" i="162"/>
  <c r="B10" i="159"/>
  <c r="B11" i="165"/>
  <c r="N19" i="165"/>
  <c r="B12" i="162"/>
  <c r="B11" i="160"/>
  <c r="B11" i="159"/>
  <c r="B10" i="196" l="1"/>
  <c r="B27" i="42"/>
  <c r="B22" i="162"/>
  <c r="J22" i="162"/>
  <c r="F22" i="162"/>
  <c r="F21" i="160"/>
  <c r="B21" i="159"/>
  <c r="J21" i="156"/>
  <c r="J21" i="160"/>
  <c r="B21" i="160"/>
  <c r="F21" i="156"/>
  <c r="J21" i="159"/>
  <c r="F21" i="159"/>
  <c r="N8" i="165"/>
  <c r="F7" i="165"/>
  <c r="F7" i="156"/>
  <c r="F7" i="160"/>
  <c r="F7" i="162"/>
  <c r="F7" i="159"/>
  <c r="N23" i="165"/>
  <c r="B23" i="159"/>
  <c r="J23" i="156"/>
  <c r="J23" i="160"/>
  <c r="J24" i="162"/>
  <c r="F23" i="156"/>
  <c r="F24" i="162"/>
  <c r="F23" i="160"/>
  <c r="B24" i="162"/>
  <c r="B23" i="160"/>
  <c r="F23" i="159"/>
  <c r="J23" i="159"/>
  <c r="B20" i="159"/>
  <c r="F21" i="162"/>
  <c r="J20" i="160"/>
  <c r="J21" i="162"/>
  <c r="B21" i="162"/>
  <c r="F20" i="160"/>
  <c r="F20" i="156"/>
  <c r="B20" i="160"/>
  <c r="J20" i="156"/>
  <c r="F20" i="159"/>
  <c r="J20" i="159"/>
  <c r="F24" i="165"/>
  <c r="J24" i="165"/>
  <c r="B24" i="165"/>
  <c r="F18" i="162"/>
  <c r="F17" i="160"/>
  <c r="F17" i="159"/>
  <c r="F14" i="156"/>
  <c r="F15" i="162"/>
  <c r="F14" i="160"/>
  <c r="F14" i="159"/>
  <c r="N12" i="165"/>
  <c r="N14" i="165"/>
  <c r="N26" i="165"/>
  <c r="N22" i="165"/>
  <c r="N17" i="165"/>
  <c r="F9" i="165"/>
  <c r="F8" i="165"/>
  <c r="F11" i="165"/>
  <c r="J14" i="165"/>
  <c r="F18" i="165"/>
  <c r="J18" i="165"/>
  <c r="B18" i="165"/>
  <c r="B18" i="160"/>
  <c r="B18" i="159"/>
  <c r="F18" i="156"/>
  <c r="F18" i="160"/>
  <c r="F19" i="162"/>
  <c r="B19" i="162"/>
  <c r="J18" i="156"/>
  <c r="J18" i="160"/>
  <c r="J19" i="162"/>
  <c r="J18" i="159"/>
  <c r="F18" i="159"/>
  <c r="F17" i="165"/>
  <c r="N28" i="165"/>
  <c r="N25" i="165"/>
  <c r="F11" i="156"/>
  <c r="F11" i="160"/>
  <c r="F12" i="162"/>
  <c r="F11" i="159"/>
  <c r="B22" i="160"/>
  <c r="J22" i="160"/>
  <c r="B23" i="162"/>
  <c r="J23" i="162"/>
  <c r="B22" i="159"/>
  <c r="F23" i="162"/>
  <c r="J22" i="156"/>
  <c r="F22" i="160"/>
  <c r="F22" i="156"/>
  <c r="F22" i="159"/>
  <c r="J22" i="159"/>
  <c r="F14" i="165"/>
  <c r="N13" i="165"/>
  <c r="F9" i="156"/>
  <c r="F9" i="160"/>
  <c r="F10" i="162"/>
  <c r="F9" i="159"/>
  <c r="F10" i="165"/>
  <c r="F10" i="156"/>
  <c r="F10" i="160"/>
  <c r="F11" i="162"/>
  <c r="F10" i="159"/>
  <c r="J15" i="165"/>
  <c r="J16" i="156"/>
  <c r="R16" i="156" s="1"/>
  <c r="J16" i="160"/>
  <c r="J17" i="162"/>
  <c r="J16" i="159"/>
  <c r="N24" i="165"/>
  <c r="B42" i="162"/>
  <c r="B43" i="162"/>
  <c r="B22" i="165"/>
  <c r="F22" i="165"/>
  <c r="J22" i="165"/>
  <c r="F15" i="156"/>
  <c r="F16" i="162"/>
  <c r="F15" i="160"/>
  <c r="F15" i="159"/>
  <c r="N10" i="165"/>
  <c r="N21" i="165"/>
  <c r="F12" i="156"/>
  <c r="F13" i="162"/>
  <c r="F12" i="160"/>
  <c r="F12" i="159"/>
  <c r="J14" i="156"/>
  <c r="J15" i="162"/>
  <c r="J14" i="160"/>
  <c r="J14" i="159"/>
  <c r="B17" i="165"/>
  <c r="J17" i="165"/>
  <c r="B25" i="162"/>
  <c r="B24" i="160"/>
  <c r="F24" i="160"/>
  <c r="B24" i="159"/>
  <c r="J25" i="162"/>
  <c r="F25" i="162"/>
  <c r="F24" i="156"/>
  <c r="J24" i="160"/>
  <c r="J24" i="156"/>
  <c r="J24" i="159"/>
  <c r="F24" i="159"/>
  <c r="F16" i="165"/>
  <c r="N29" i="165"/>
  <c r="N15" i="165"/>
  <c r="N27" i="165"/>
  <c r="N16" i="165"/>
  <c r="F8" i="162"/>
  <c r="F8" i="156"/>
  <c r="F8" i="160"/>
  <c r="F9" i="162"/>
  <c r="F8" i="159"/>
  <c r="F20" i="165"/>
  <c r="B20" i="165"/>
  <c r="J20" i="165"/>
  <c r="B21" i="165"/>
  <c r="F21" i="165"/>
  <c r="J21" i="165"/>
  <c r="F23" i="165"/>
  <c r="B23" i="165"/>
  <c r="J23" i="165"/>
  <c r="F15" i="165"/>
  <c r="F16" i="160"/>
  <c r="F17" i="162"/>
  <c r="F16" i="159"/>
  <c r="N7" i="165"/>
  <c r="N11" i="165"/>
  <c r="N9" i="165"/>
  <c r="N20" i="165"/>
  <c r="N18" i="165"/>
  <c r="F13" i="165"/>
  <c r="F12" i="165"/>
  <c r="F14" i="162"/>
  <c r="F13" i="156"/>
  <c r="F13" i="160"/>
  <c r="F13" i="159"/>
  <c r="J16" i="162"/>
  <c r="J15" i="156"/>
  <c r="J15" i="160"/>
  <c r="J15" i="159"/>
  <c r="B17" i="159"/>
  <c r="B17" i="160"/>
  <c r="B18" i="162"/>
  <c r="J17" i="160"/>
  <c r="J17" i="156"/>
  <c r="R17" i="156" s="1"/>
  <c r="J18" i="162"/>
  <c r="J17" i="159"/>
  <c r="J16" i="165"/>
  <c r="B21" i="196" l="1"/>
  <c r="B27" i="196" s="1"/>
  <c r="R23" i="156"/>
  <c r="R21" i="156"/>
  <c r="R18" i="156"/>
  <c r="R22" i="156"/>
  <c r="R14" i="156"/>
  <c r="R15" i="156"/>
  <c r="R24" i="156"/>
  <c r="R20" i="156"/>
  <c r="R20" i="165"/>
  <c r="B20" i="33" s="1"/>
  <c r="R15" i="160"/>
  <c r="R16" i="162"/>
  <c r="J25" i="165"/>
  <c r="B25" i="165"/>
  <c r="F25" i="165"/>
  <c r="B19" i="159"/>
  <c r="B39" i="159" s="1"/>
  <c r="F19" i="156"/>
  <c r="B20" i="162"/>
  <c r="B40" i="162" s="1"/>
  <c r="J19" i="160"/>
  <c r="J19" i="156"/>
  <c r="F19" i="160"/>
  <c r="B19" i="160"/>
  <c r="J20" i="162"/>
  <c r="F20" i="162"/>
  <c r="J19" i="159"/>
  <c r="F19" i="159"/>
  <c r="F42" i="162"/>
  <c r="R25" i="162"/>
  <c r="R22" i="160"/>
  <c r="F43" i="162"/>
  <c r="R14" i="159"/>
  <c r="R20" i="159"/>
  <c r="F41" i="159"/>
  <c r="F41" i="156"/>
  <c r="J41" i="160"/>
  <c r="F41" i="160"/>
  <c r="B28" i="165"/>
  <c r="J28" i="165"/>
  <c r="F28" i="165"/>
  <c r="R17" i="162"/>
  <c r="R23" i="162"/>
  <c r="J41" i="159"/>
  <c r="B41" i="160"/>
  <c r="R21" i="160"/>
  <c r="J41" i="156"/>
  <c r="R22" i="162"/>
  <c r="R16" i="165"/>
  <c r="B16" i="33" s="1"/>
  <c r="R18" i="162"/>
  <c r="N39" i="165"/>
  <c r="R23" i="165"/>
  <c r="B23" i="33" s="1"/>
  <c r="R21" i="165"/>
  <c r="B21" i="33" s="1"/>
  <c r="R29" i="165"/>
  <c r="B29" i="33" s="1"/>
  <c r="R22" i="165"/>
  <c r="B22" i="33" s="1"/>
  <c r="R16" i="160"/>
  <c r="R22" i="159"/>
  <c r="R18" i="159"/>
  <c r="R18" i="165"/>
  <c r="B18" i="33" s="1"/>
  <c r="R14" i="160"/>
  <c r="R24" i="165"/>
  <c r="B24" i="33" s="1"/>
  <c r="R23" i="160"/>
  <c r="R23" i="159"/>
  <c r="B19" i="165"/>
  <c r="F19" i="165"/>
  <c r="J19" i="165"/>
  <c r="R17" i="159"/>
  <c r="R24" i="159"/>
  <c r="R19" i="162"/>
  <c r="R15" i="162"/>
  <c r="R21" i="162"/>
  <c r="F41" i="162"/>
  <c r="J27" i="165"/>
  <c r="F27" i="165"/>
  <c r="B27" i="165"/>
  <c r="R17" i="160"/>
  <c r="B26" i="165"/>
  <c r="F26" i="165"/>
  <c r="J26" i="165"/>
  <c r="R24" i="160"/>
  <c r="R17" i="165"/>
  <c r="B17" i="33" s="1"/>
  <c r="R15" i="159"/>
  <c r="R16" i="159"/>
  <c r="R18" i="160"/>
  <c r="R20" i="160"/>
  <c r="R24" i="162"/>
  <c r="B41" i="159"/>
  <c r="R21" i="159"/>
  <c r="F40" i="156" l="1"/>
  <c r="R19" i="156"/>
  <c r="F39" i="156"/>
  <c r="F39" i="160"/>
  <c r="F40" i="162"/>
  <c r="F44" i="162"/>
  <c r="F40" i="159"/>
  <c r="F39" i="159"/>
  <c r="B40" i="159"/>
  <c r="B44" i="162"/>
  <c r="F40" i="160"/>
  <c r="J10" i="165"/>
  <c r="AD17" i="159"/>
  <c r="Z23" i="156"/>
  <c r="Z18" i="165"/>
  <c r="AD18" i="159"/>
  <c r="J7" i="156"/>
  <c r="R7" i="156" s="1"/>
  <c r="J7" i="162"/>
  <c r="J7" i="160"/>
  <c r="J7" i="159"/>
  <c r="J9" i="156"/>
  <c r="R9" i="156" s="1"/>
  <c r="J9" i="160"/>
  <c r="J10" i="162"/>
  <c r="J9" i="159"/>
  <c r="J12" i="156"/>
  <c r="R12" i="156" s="1"/>
  <c r="J13" i="162"/>
  <c r="J12" i="160"/>
  <c r="J12" i="159"/>
  <c r="J10" i="156"/>
  <c r="R10" i="156" s="1"/>
  <c r="J10" i="160"/>
  <c r="J11" i="162"/>
  <c r="J10" i="159"/>
  <c r="J13" i="165"/>
  <c r="Z14" i="156"/>
  <c r="AD16" i="159"/>
  <c r="J12" i="165"/>
  <c r="J11" i="165"/>
  <c r="J7" i="165"/>
  <c r="Z16" i="156"/>
  <c r="AD15" i="159"/>
  <c r="R26" i="165"/>
  <c r="B26" i="33" s="1"/>
  <c r="R27" i="165"/>
  <c r="B27" i="33" s="1"/>
  <c r="R19" i="165"/>
  <c r="B19" i="33" s="1"/>
  <c r="Z18" i="156"/>
  <c r="R28" i="165"/>
  <c r="B28" i="33" s="1"/>
  <c r="Z21" i="156"/>
  <c r="R41" i="156"/>
  <c r="F39" i="165"/>
  <c r="J14" i="162"/>
  <c r="J13" i="156"/>
  <c r="R13" i="156" s="1"/>
  <c r="J13" i="160"/>
  <c r="J13" i="159"/>
  <c r="AD21" i="159"/>
  <c r="R41" i="159"/>
  <c r="AD23" i="159"/>
  <c r="Z29" i="165"/>
  <c r="Z15" i="156"/>
  <c r="R19" i="160"/>
  <c r="B40" i="160"/>
  <c r="B39" i="160"/>
  <c r="R20" i="162"/>
  <c r="J9" i="165"/>
  <c r="Z16" i="165"/>
  <c r="Z20" i="156"/>
  <c r="Z17" i="156"/>
  <c r="R25" i="165"/>
  <c r="B25" i="33" s="1"/>
  <c r="J8" i="165"/>
  <c r="AD20" i="159"/>
  <c r="Z20" i="165"/>
  <c r="J11" i="156"/>
  <c r="R11" i="156" s="1"/>
  <c r="J11" i="160"/>
  <c r="J12" i="162"/>
  <c r="J11" i="159"/>
  <c r="J8" i="162"/>
  <c r="J8" i="156"/>
  <c r="R8" i="156" s="1"/>
  <c r="J8" i="160"/>
  <c r="J9" i="162"/>
  <c r="J8" i="159"/>
  <c r="Z17" i="165"/>
  <c r="AD24" i="159"/>
  <c r="Z24" i="165"/>
  <c r="AD22" i="159"/>
  <c r="Z22" i="156"/>
  <c r="Z22" i="165"/>
  <c r="Z21" i="165"/>
  <c r="Z23" i="165"/>
  <c r="R41" i="160"/>
  <c r="AD14" i="159"/>
  <c r="Z24" i="156"/>
  <c r="R19" i="159"/>
  <c r="R8" i="159" l="1"/>
  <c r="R8" i="165"/>
  <c r="B8" i="33" s="1"/>
  <c r="R12" i="159"/>
  <c r="J21" i="33"/>
  <c r="J17" i="33"/>
  <c r="R11" i="159"/>
  <c r="J16" i="33"/>
  <c r="J24" i="33"/>
  <c r="J20" i="33"/>
  <c r="R9" i="165"/>
  <c r="B9" i="33" s="1"/>
  <c r="C8" i="191"/>
  <c r="C18" i="191" s="1"/>
  <c r="R13" i="159"/>
  <c r="C8" i="187"/>
  <c r="C18" i="187" s="1"/>
  <c r="R11" i="162"/>
  <c r="R13" i="162"/>
  <c r="J40" i="160"/>
  <c r="J39" i="160"/>
  <c r="R7" i="160"/>
  <c r="R10" i="165"/>
  <c r="B10" i="33" s="1"/>
  <c r="Z26" i="165"/>
  <c r="R9" i="159"/>
  <c r="R9" i="160"/>
  <c r="J40" i="159"/>
  <c r="J39" i="159"/>
  <c r="R7" i="159"/>
  <c r="J41" i="162"/>
  <c r="J40" i="162"/>
  <c r="R7" i="162"/>
  <c r="AD19" i="159"/>
  <c r="Z25" i="165"/>
  <c r="Z19" i="156"/>
  <c r="AD41" i="159"/>
  <c r="R13" i="160"/>
  <c r="J44" i="162"/>
  <c r="R14" i="162"/>
  <c r="Z41" i="156"/>
  <c r="R11" i="165"/>
  <c r="B11" i="33" s="1"/>
  <c r="R10" i="160"/>
  <c r="J40" i="156"/>
  <c r="J39" i="156"/>
  <c r="J22" i="33"/>
  <c r="R8" i="160"/>
  <c r="Z19" i="165"/>
  <c r="J39" i="165"/>
  <c r="R7" i="165"/>
  <c r="B7" i="33" s="1"/>
  <c r="J18" i="33"/>
  <c r="R8" i="162"/>
  <c r="J43" i="162"/>
  <c r="R12" i="162"/>
  <c r="J42" i="162"/>
  <c r="R9" i="162"/>
  <c r="R11" i="160"/>
  <c r="J23" i="33"/>
  <c r="Z28" i="165"/>
  <c r="Z27" i="165"/>
  <c r="R10" i="159"/>
  <c r="R12" i="160"/>
  <c r="R10" i="162"/>
  <c r="Z7" i="165" l="1"/>
  <c r="C24" i="191"/>
  <c r="C8" i="192"/>
  <c r="C18" i="192" s="1"/>
  <c r="J27" i="33"/>
  <c r="R43" i="162"/>
  <c r="N9" i="175" s="1"/>
  <c r="J26" i="33"/>
  <c r="J19" i="33"/>
  <c r="K8" i="187"/>
  <c r="K18" i="187" s="1"/>
  <c r="J25" i="33"/>
  <c r="Z8" i="156"/>
  <c r="Z12" i="156"/>
  <c r="AD12" i="159"/>
  <c r="Z11" i="165"/>
  <c r="AD10" i="159"/>
  <c r="J28" i="33"/>
  <c r="Z7" i="156"/>
  <c r="R39" i="156"/>
  <c r="R40" i="156"/>
  <c r="Z9" i="156"/>
  <c r="R44" i="162"/>
  <c r="R41" i="162"/>
  <c r="R40" i="162"/>
  <c r="P9" i="175" s="1"/>
  <c r="AD7" i="159"/>
  <c r="R39" i="159"/>
  <c r="R40" i="159"/>
  <c r="AD9" i="159"/>
  <c r="Z10" i="156"/>
  <c r="Z8" i="165"/>
  <c r="AD8" i="159"/>
  <c r="R42" i="162"/>
  <c r="Z11" i="156"/>
  <c r="Z13" i="156"/>
  <c r="O8" i="191"/>
  <c r="O18" i="191" s="1"/>
  <c r="Z10" i="165"/>
  <c r="R39" i="160"/>
  <c r="R40" i="160"/>
  <c r="C24" i="187"/>
  <c r="C8" i="194"/>
  <c r="C18" i="194" s="1"/>
  <c r="AD13" i="159"/>
  <c r="Z9" i="165"/>
  <c r="AD11" i="159"/>
  <c r="P20" i="175" l="1"/>
  <c r="P8" i="224"/>
  <c r="N20" i="175"/>
  <c r="N8" i="224"/>
  <c r="N19" i="224" s="1"/>
  <c r="N9" i="199"/>
  <c r="N20" i="199" s="1"/>
  <c r="O8" i="221"/>
  <c r="O18" i="221" s="1"/>
  <c r="M19" i="224"/>
  <c r="L19" i="224"/>
  <c r="E8" i="190"/>
  <c r="E18" i="190" s="1"/>
  <c r="O8" i="192"/>
  <c r="O18" i="192" s="1"/>
  <c r="O24" i="191"/>
  <c r="F9" i="175"/>
  <c r="AD40" i="159"/>
  <c r="AD39" i="159"/>
  <c r="J11" i="33"/>
  <c r="K8" i="194"/>
  <c r="K18" i="194" s="1"/>
  <c r="K24" i="187"/>
  <c r="J9" i="33"/>
  <c r="J7" i="33"/>
  <c r="B8" i="191"/>
  <c r="B18" i="191" s="1"/>
  <c r="C24" i="194"/>
  <c r="J8" i="33"/>
  <c r="E8" i="191"/>
  <c r="E18" i="191" s="1"/>
  <c r="B8" i="187"/>
  <c r="B18" i="187" s="1"/>
  <c r="Z39" i="156"/>
  <c r="Z40" i="156"/>
  <c r="B8" i="190"/>
  <c r="B18" i="190" s="1"/>
  <c r="J10" i="33"/>
  <c r="E8" i="187"/>
  <c r="E18" i="187" s="1"/>
  <c r="D9" i="175"/>
  <c r="C24" i="192"/>
  <c r="D20" i="175" l="1"/>
  <c r="D26" i="175" s="1"/>
  <c r="D8" i="224"/>
  <c r="F20" i="175"/>
  <c r="F26" i="175" s="1"/>
  <c r="F8" i="224"/>
  <c r="F19" i="224" s="1"/>
  <c r="C18" i="223"/>
  <c r="B18" i="223"/>
  <c r="D18" i="223"/>
  <c r="N26" i="175"/>
  <c r="O19" i="224"/>
  <c r="B24" i="190"/>
  <c r="B8" i="221"/>
  <c r="C8" i="221"/>
  <c r="C18" i="221" s="1"/>
  <c r="E8" i="221"/>
  <c r="C19" i="224"/>
  <c r="P19" i="224"/>
  <c r="E19" i="224"/>
  <c r="P9" i="199"/>
  <c r="P20" i="199" s="1"/>
  <c r="F26" i="233"/>
  <c r="B26" i="233"/>
  <c r="D26" i="233"/>
  <c r="C26" i="233"/>
  <c r="E26" i="233"/>
  <c r="M8" i="187"/>
  <c r="M18" i="187" s="1"/>
  <c r="B8" i="192"/>
  <c r="B18" i="192" s="1"/>
  <c r="B24" i="191"/>
  <c r="B8" i="189"/>
  <c r="B18" i="189" s="1"/>
  <c r="E24" i="191"/>
  <c r="E8" i="192"/>
  <c r="E18" i="192" s="1"/>
  <c r="N8" i="191"/>
  <c r="N18" i="191" s="1"/>
  <c r="E8" i="189"/>
  <c r="E18" i="189" s="1"/>
  <c r="E24" i="190"/>
  <c r="E24" i="187"/>
  <c r="E8" i="194"/>
  <c r="E18" i="194" s="1"/>
  <c r="K24" i="194"/>
  <c r="J8" i="187"/>
  <c r="J18" i="187" s="1"/>
  <c r="B8" i="194"/>
  <c r="B18" i="194" s="1"/>
  <c r="B24" i="187"/>
  <c r="O24" i="192"/>
  <c r="F9" i="199"/>
  <c r="F20" i="199" s="1"/>
  <c r="D9" i="199"/>
  <c r="D20" i="199" s="1"/>
  <c r="Q8" i="191"/>
  <c r="Q18" i="191" s="1"/>
  <c r="O8" i="222"/>
  <c r="O24" i="221"/>
  <c r="O18" i="222" l="1"/>
  <c r="O24" i="222" s="1"/>
  <c r="E18" i="221"/>
  <c r="E24" i="221" s="1"/>
  <c r="C8" i="242"/>
  <c r="B18" i="221"/>
  <c r="D19" i="224"/>
  <c r="D25" i="224" s="1"/>
  <c r="B19" i="224"/>
  <c r="B25" i="224" s="1"/>
  <c r="I18" i="223"/>
  <c r="H18" i="223"/>
  <c r="J18" i="223"/>
  <c r="N26" i="199"/>
  <c r="N8" i="221"/>
  <c r="N18" i="221" s="1"/>
  <c r="Q8" i="221"/>
  <c r="Q18" i="221" s="1"/>
  <c r="P26" i="175"/>
  <c r="L26" i="233"/>
  <c r="O26" i="233"/>
  <c r="D26" i="234"/>
  <c r="P26" i="233"/>
  <c r="C26" i="234"/>
  <c r="B26" i="234"/>
  <c r="N26" i="233"/>
  <c r="F26" i="234"/>
  <c r="M26" i="233"/>
  <c r="E26" i="234"/>
  <c r="C24" i="221"/>
  <c r="C8" i="222"/>
  <c r="F26" i="199"/>
  <c r="C25" i="224"/>
  <c r="C8" i="225"/>
  <c r="B24" i="194"/>
  <c r="E24" i="192"/>
  <c r="M24" i="187"/>
  <c r="M8" i="194"/>
  <c r="M18" i="194" s="1"/>
  <c r="D26" i="199"/>
  <c r="J24" i="187"/>
  <c r="J8" i="194"/>
  <c r="J18" i="194" s="1"/>
  <c r="N8" i="192"/>
  <c r="N18" i="192" s="1"/>
  <c r="N24" i="191"/>
  <c r="D8" i="225"/>
  <c r="E8" i="222"/>
  <c r="B8" i="225"/>
  <c r="B24" i="192"/>
  <c r="Q8" i="192"/>
  <c r="Q18" i="192" s="1"/>
  <c r="Q24" i="191"/>
  <c r="D24" i="223"/>
  <c r="D8" i="220"/>
  <c r="E24" i="194"/>
  <c r="F25" i="224"/>
  <c r="F8" i="225"/>
  <c r="B8" i="222"/>
  <c r="E24" i="189"/>
  <c r="B8" i="220"/>
  <c r="B24" i="223"/>
  <c r="E8" i="225"/>
  <c r="E25" i="224"/>
  <c r="B24" i="189"/>
  <c r="C24" i="223"/>
  <c r="C8" i="220"/>
  <c r="C18" i="220" l="1"/>
  <c r="E19" i="225"/>
  <c r="E25" i="225" s="1"/>
  <c r="B18" i="222"/>
  <c r="B24" i="222" s="1"/>
  <c r="D18" i="220"/>
  <c r="D24" i="220" s="1"/>
  <c r="D19" i="225"/>
  <c r="F19" i="225"/>
  <c r="B19" i="225"/>
  <c r="B18" i="220"/>
  <c r="B24" i="220" s="1"/>
  <c r="E18" i="222"/>
  <c r="E24" i="222" s="1"/>
  <c r="C19" i="225"/>
  <c r="C18" i="222"/>
  <c r="C8" i="243"/>
  <c r="C18" i="242"/>
  <c r="I8" i="242"/>
  <c r="P26" i="199"/>
  <c r="N26" i="234"/>
  <c r="L26" i="234"/>
  <c r="M26" i="234"/>
  <c r="O26" i="234"/>
  <c r="P26" i="234"/>
  <c r="C24" i="220"/>
  <c r="H24" i="223"/>
  <c r="H8" i="220"/>
  <c r="D25" i="225"/>
  <c r="N24" i="192"/>
  <c r="J24" i="194"/>
  <c r="M24" i="194"/>
  <c r="M25" i="224"/>
  <c r="M8" i="225"/>
  <c r="O8" i="225"/>
  <c r="O25" i="224"/>
  <c r="B25" i="225"/>
  <c r="L8" i="225"/>
  <c r="L25" i="224"/>
  <c r="C25" i="225"/>
  <c r="J8" i="220"/>
  <c r="J24" i="223"/>
  <c r="F25" i="225"/>
  <c r="Q24" i="192"/>
  <c r="C24" i="222"/>
  <c r="I8" i="220"/>
  <c r="I24" i="223"/>
  <c r="N8" i="222"/>
  <c r="N24" i="221"/>
  <c r="Q24" i="221"/>
  <c r="Q8" i="222"/>
  <c r="N8" i="225"/>
  <c r="N25" i="224"/>
  <c r="P25" i="224"/>
  <c r="P8" i="225"/>
  <c r="I18" i="220" l="1"/>
  <c r="I24" i="220" s="1"/>
  <c r="O19" i="225"/>
  <c r="N19" i="225"/>
  <c r="N25" i="225" s="1"/>
  <c r="N18" i="222"/>
  <c r="N24" i="222" s="1"/>
  <c r="L19" i="225"/>
  <c r="L25" i="225" s="1"/>
  <c r="H18" i="220"/>
  <c r="H24" i="220" s="1"/>
  <c r="P19" i="225"/>
  <c r="P25" i="225" s="1"/>
  <c r="Q18" i="222"/>
  <c r="Q24" i="222" s="1"/>
  <c r="J18" i="220"/>
  <c r="J24" i="220" s="1"/>
  <c r="M19" i="225"/>
  <c r="M25" i="225" s="1"/>
  <c r="I8" i="243"/>
  <c r="I18" i="242"/>
  <c r="C24" i="242"/>
  <c r="C18" i="243"/>
  <c r="O25" i="225"/>
  <c r="I24" i="242" l="1"/>
  <c r="C24" i="243"/>
  <c r="I18" i="243"/>
  <c r="I24" i="243" l="1"/>
  <c r="L33" i="184" l="1"/>
  <c r="G33" i="184"/>
  <c r="I33" i="184"/>
  <c r="H33" i="184"/>
  <c r="C15" i="165" l="1"/>
  <c r="C15" i="162"/>
  <c r="C14" i="160"/>
  <c r="C14" i="159"/>
  <c r="E14" i="79"/>
  <c r="C16" i="162"/>
  <c r="E16" i="162" s="1"/>
  <c r="C15" i="160"/>
  <c r="E15" i="160" s="1"/>
  <c r="C15" i="159"/>
  <c r="E15" i="159" s="1"/>
  <c r="E15" i="79"/>
  <c r="C14" i="165"/>
  <c r="E14" i="160" l="1"/>
  <c r="E15" i="162"/>
  <c r="E14" i="159"/>
  <c r="U30" i="79" l="1"/>
  <c r="W30" i="156"/>
  <c r="W30" i="159"/>
  <c r="C29" i="41"/>
  <c r="E29" i="41" s="1"/>
  <c r="W12" i="165" l="1"/>
  <c r="U12" i="164"/>
  <c r="W28" i="165"/>
  <c r="U28" i="164"/>
  <c r="W8" i="165"/>
  <c r="U8" i="164"/>
  <c r="W16" i="165"/>
  <c r="U16" i="164"/>
  <c r="W24" i="165"/>
  <c r="U24" i="164"/>
  <c r="W10" i="165"/>
  <c r="U10" i="164"/>
  <c r="W19" i="165"/>
  <c r="U19" i="164"/>
  <c r="W9" i="165"/>
  <c r="U9" i="164"/>
  <c r="W17" i="165"/>
  <c r="U17" i="164"/>
  <c r="W25" i="165"/>
  <c r="U25" i="164"/>
  <c r="W14" i="156"/>
  <c r="Y14" i="156" s="1"/>
  <c r="W14" i="159"/>
  <c r="Y14" i="159" s="1"/>
  <c r="C13" i="41"/>
  <c r="E13" i="41" s="1"/>
  <c r="U14" i="79"/>
  <c r="W26" i="165"/>
  <c r="U26" i="164"/>
  <c r="W23" i="156"/>
  <c r="Y23" i="156" s="1"/>
  <c r="W23" i="159"/>
  <c r="Y23" i="159" s="1"/>
  <c r="C22" i="41"/>
  <c r="E22" i="41" s="1"/>
  <c r="U23" i="79"/>
  <c r="W8" i="156"/>
  <c r="Y8" i="156" s="1"/>
  <c r="W8" i="159"/>
  <c r="Y8" i="159" s="1"/>
  <c r="C7" i="41"/>
  <c r="E7" i="41" s="1"/>
  <c r="U8" i="79"/>
  <c r="W16" i="156"/>
  <c r="Y16" i="156" s="1"/>
  <c r="W16" i="159"/>
  <c r="Y16" i="159" s="1"/>
  <c r="C15" i="41"/>
  <c r="U16" i="79"/>
  <c r="C23" i="41"/>
  <c r="E23" i="41" s="1"/>
  <c r="W24" i="159"/>
  <c r="Y24" i="159" s="1"/>
  <c r="W24" i="156"/>
  <c r="Y24" i="156" s="1"/>
  <c r="U24" i="79"/>
  <c r="C9" i="41"/>
  <c r="W10" i="156"/>
  <c r="W10" i="159"/>
  <c r="Y10" i="159" s="1"/>
  <c r="U10" i="79"/>
  <c r="C18" i="41"/>
  <c r="E18" i="41" s="1"/>
  <c r="W19" i="159"/>
  <c r="Y19" i="159" s="1"/>
  <c r="W19" i="156"/>
  <c r="Y19" i="156" s="1"/>
  <c r="U19" i="79"/>
  <c r="W9" i="159"/>
  <c r="Y9" i="159" s="1"/>
  <c r="C8" i="41"/>
  <c r="E8" i="41" s="1"/>
  <c r="W9" i="156"/>
  <c r="Y9" i="156" s="1"/>
  <c r="U9" i="79"/>
  <c r="W17" i="156"/>
  <c r="Y17" i="156" s="1"/>
  <c r="W17" i="159"/>
  <c r="Y17" i="159" s="1"/>
  <c r="C16" i="41"/>
  <c r="E16" i="41" s="1"/>
  <c r="U17" i="79"/>
  <c r="W25" i="156"/>
  <c r="Y25" i="156" s="1"/>
  <c r="W25" i="159"/>
  <c r="Y25" i="159" s="1"/>
  <c r="C24" i="41"/>
  <c r="E24" i="41" s="1"/>
  <c r="U25" i="79"/>
  <c r="W14" i="165"/>
  <c r="U14" i="164"/>
  <c r="W26" i="156"/>
  <c r="Y26" i="156" s="1"/>
  <c r="C25" i="41"/>
  <c r="E25" i="41" s="1"/>
  <c r="W26" i="159"/>
  <c r="Y26" i="159" s="1"/>
  <c r="U26" i="79"/>
  <c r="W23" i="165"/>
  <c r="U23" i="164"/>
  <c r="W20" i="156"/>
  <c r="Y20" i="156" s="1"/>
  <c r="W20" i="159"/>
  <c r="Y20" i="159" s="1"/>
  <c r="C19" i="41"/>
  <c r="E19" i="41" s="1"/>
  <c r="U20" i="79"/>
  <c r="W18" i="165"/>
  <c r="U18" i="164"/>
  <c r="Y30" i="159"/>
  <c r="C10" i="41"/>
  <c r="E10" i="41" s="1"/>
  <c r="W11" i="159"/>
  <c r="Y11" i="159" s="1"/>
  <c r="W11" i="156"/>
  <c r="Y11" i="156" s="1"/>
  <c r="U11" i="79"/>
  <c r="W27" i="165"/>
  <c r="U27" i="164"/>
  <c r="W13" i="165"/>
  <c r="U13" i="164"/>
  <c r="C20" i="41"/>
  <c r="W21" i="156"/>
  <c r="W21" i="159"/>
  <c r="U21" i="79"/>
  <c r="W29" i="165"/>
  <c r="U29" i="164"/>
  <c r="W22" i="156"/>
  <c r="Y22" i="156" s="1"/>
  <c r="W22" i="159"/>
  <c r="Y22" i="159" s="1"/>
  <c r="C21" i="41"/>
  <c r="U22" i="79"/>
  <c r="W15" i="159"/>
  <c r="Y15" i="159" s="1"/>
  <c r="W15" i="156"/>
  <c r="Y15" i="156" s="1"/>
  <c r="C14" i="41"/>
  <c r="E14" i="41" s="1"/>
  <c r="U15" i="79"/>
  <c r="C6" i="41"/>
  <c r="W7" i="156"/>
  <c r="W7" i="159"/>
  <c r="U7" i="79"/>
  <c r="C11" i="41"/>
  <c r="E11" i="41" s="1"/>
  <c r="W12" i="159"/>
  <c r="Y12" i="159" s="1"/>
  <c r="W12" i="156"/>
  <c r="Y12" i="156" s="1"/>
  <c r="U12" i="79"/>
  <c r="W20" i="165"/>
  <c r="U20" i="164"/>
  <c r="C27" i="41"/>
  <c r="E27" i="41" s="1"/>
  <c r="W28" i="159"/>
  <c r="Y28" i="159" s="1"/>
  <c r="W28" i="156"/>
  <c r="Y28" i="156" s="1"/>
  <c r="U28" i="79"/>
  <c r="W18" i="156"/>
  <c r="Y18" i="156" s="1"/>
  <c r="W18" i="159"/>
  <c r="Y18" i="159" s="1"/>
  <c r="C17" i="41"/>
  <c r="E17" i="41" s="1"/>
  <c r="U18" i="79"/>
  <c r="Y30" i="156"/>
  <c r="AA30" i="156"/>
  <c r="AC30" i="156" s="1"/>
  <c r="W11" i="165"/>
  <c r="U11" i="164"/>
  <c r="W27" i="159"/>
  <c r="Y27" i="159" s="1"/>
  <c r="W27" i="156"/>
  <c r="Y27" i="156" s="1"/>
  <c r="C26" i="41"/>
  <c r="E26" i="41" s="1"/>
  <c r="U27" i="79"/>
  <c r="W13" i="156"/>
  <c r="Y13" i="156" s="1"/>
  <c r="W13" i="159"/>
  <c r="Y13" i="159" s="1"/>
  <c r="C12" i="41"/>
  <c r="E12" i="41" s="1"/>
  <c r="U13" i="79"/>
  <c r="W21" i="165"/>
  <c r="U21" i="164"/>
  <c r="W29" i="156"/>
  <c r="Y29" i="156" s="1"/>
  <c r="W29" i="159"/>
  <c r="Y29" i="159" s="1"/>
  <c r="C28" i="41"/>
  <c r="E28" i="41" s="1"/>
  <c r="U29" i="79"/>
  <c r="W22" i="165"/>
  <c r="U22" i="164"/>
  <c r="W15" i="165"/>
  <c r="U15" i="164"/>
  <c r="W7" i="165"/>
  <c r="U7" i="164"/>
  <c r="Y10" i="156" l="1"/>
  <c r="Y11" i="165"/>
  <c r="W40" i="156"/>
  <c r="Y7" i="156"/>
  <c r="Y29" i="165"/>
  <c r="Y21" i="159"/>
  <c r="Y13" i="165"/>
  <c r="E15" i="41"/>
  <c r="Y25" i="165"/>
  <c r="W39" i="165"/>
  <c r="Y39" i="165" s="1"/>
  <c r="Y41" i="165" s="1"/>
  <c r="Y7" i="165"/>
  <c r="C39" i="41"/>
  <c r="E6" i="41"/>
  <c r="E21" i="41"/>
  <c r="Y26" i="165"/>
  <c r="Y9" i="165"/>
  <c r="Y19" i="165"/>
  <c r="Y8" i="165"/>
  <c r="Y28" i="165"/>
  <c r="Y15" i="165"/>
  <c r="Y21" i="165"/>
  <c r="Y21" i="156"/>
  <c r="E20" i="41"/>
  <c r="Y23" i="165"/>
  <c r="Y14" i="165"/>
  <c r="E9" i="41"/>
  <c r="Y17" i="165"/>
  <c r="Y10" i="165"/>
  <c r="Y24" i="165"/>
  <c r="Y16" i="165"/>
  <c r="Y22" i="165"/>
  <c r="Y20" i="165"/>
  <c r="W40" i="159"/>
  <c r="Y7" i="159"/>
  <c r="Y27" i="165"/>
  <c r="Y18" i="165"/>
  <c r="Y12" i="165"/>
  <c r="E39" i="41" l="1"/>
  <c r="E44" i="41" s="1"/>
  <c r="F9" i="187"/>
  <c r="F19" i="187" s="1"/>
  <c r="Y40" i="156"/>
  <c r="Y45" i="156" s="1"/>
  <c r="F9" i="191"/>
  <c r="F19" i="191" s="1"/>
  <c r="Y40" i="159"/>
  <c r="Y45" i="159" s="1"/>
  <c r="F9" i="221" l="1"/>
  <c r="F19" i="221" s="1"/>
  <c r="F9" i="192"/>
  <c r="F19" i="192" s="1"/>
  <c r="F12" i="191"/>
  <c r="F9" i="194"/>
  <c r="F19" i="194" s="1"/>
  <c r="F12" i="187"/>
  <c r="F22" i="187" l="1"/>
  <c r="F25" i="187"/>
  <c r="F27" i="187" s="1"/>
  <c r="F22" i="191"/>
  <c r="F25" i="191"/>
  <c r="F27" i="191" s="1"/>
  <c r="F9" i="222"/>
  <c r="F12" i="221"/>
  <c r="F12" i="194"/>
  <c r="F12" i="192"/>
  <c r="F19" i="222" l="1"/>
  <c r="F22" i="221"/>
  <c r="F25" i="221"/>
  <c r="F27" i="221" s="1"/>
  <c r="F22" i="192"/>
  <c r="F25" i="192"/>
  <c r="F27" i="192" s="1"/>
  <c r="F22" i="194"/>
  <c r="F25" i="194"/>
  <c r="F27" i="194" s="1"/>
  <c r="F12" i="222"/>
  <c r="F22" i="222" l="1"/>
  <c r="F25" i="222"/>
  <c r="F27" i="222" s="1"/>
  <c r="U37" i="79"/>
  <c r="C36" i="41"/>
  <c r="E36" i="41" s="1"/>
  <c r="W37" i="159"/>
  <c r="W37" i="156"/>
  <c r="U33" i="79"/>
  <c r="W33" i="156"/>
  <c r="W33" i="159"/>
  <c r="C32" i="41"/>
  <c r="E32" i="41" s="1"/>
  <c r="U34" i="79"/>
  <c r="W34" i="156"/>
  <c r="W34" i="159"/>
  <c r="Y34" i="159" s="1"/>
  <c r="C33" i="41"/>
  <c r="E33" i="41" s="1"/>
  <c r="U31" i="79"/>
  <c r="C30" i="41"/>
  <c r="W31" i="156"/>
  <c r="W31" i="159"/>
  <c r="U32" i="79"/>
  <c r="C31" i="41"/>
  <c r="E31" i="41" s="1"/>
  <c r="W32" i="159"/>
  <c r="W32" i="156"/>
  <c r="U35" i="79"/>
  <c r="W35" i="159"/>
  <c r="W35" i="156"/>
  <c r="C34" i="41"/>
  <c r="U36" i="79"/>
  <c r="W36" i="159"/>
  <c r="Y36" i="159" s="1"/>
  <c r="C35" i="41"/>
  <c r="E35" i="41" s="1"/>
  <c r="W36" i="156"/>
  <c r="C21" i="244" l="1"/>
  <c r="B28" i="244"/>
  <c r="F21" i="244"/>
  <c r="Y37" i="159"/>
  <c r="Y31" i="156"/>
  <c r="AA31" i="156"/>
  <c r="AC31" i="156" s="1"/>
  <c r="W39" i="156"/>
  <c r="W41" i="156"/>
  <c r="O18" i="160"/>
  <c r="Q18" i="160" s="1"/>
  <c r="O18" i="156"/>
  <c r="Q18" i="156" s="1"/>
  <c r="O18" i="159"/>
  <c r="Q18" i="159" s="1"/>
  <c r="O19" i="162"/>
  <c r="Q19" i="162" s="1"/>
  <c r="Q18" i="79"/>
  <c r="AA33" i="156"/>
  <c r="AC33" i="156" s="1"/>
  <c r="Y33" i="156"/>
  <c r="AA37" i="156"/>
  <c r="AC37" i="156" s="1"/>
  <c r="Y37" i="156"/>
  <c r="C41" i="41"/>
  <c r="E41" i="41" s="1"/>
  <c r="E46" i="41" s="1"/>
  <c r="E34" i="41"/>
  <c r="K15" i="156"/>
  <c r="M15" i="156" s="1"/>
  <c r="K15" i="160"/>
  <c r="M15" i="160" s="1"/>
  <c r="K16" i="162"/>
  <c r="M16" i="162" s="1"/>
  <c r="K15" i="159"/>
  <c r="M15" i="159" s="1"/>
  <c r="M15" i="79"/>
  <c r="AA32" i="156"/>
  <c r="AC32" i="156" s="1"/>
  <c r="Y32" i="156"/>
  <c r="O18" i="165"/>
  <c r="Q18" i="165" s="1"/>
  <c r="Q18" i="164"/>
  <c r="C28" i="165"/>
  <c r="E28" i="165" s="1"/>
  <c r="K28" i="165"/>
  <c r="M28" i="165" s="1"/>
  <c r="G28" i="165"/>
  <c r="I28" i="165" s="1"/>
  <c r="M28" i="164"/>
  <c r="C28" i="162"/>
  <c r="G27" i="156"/>
  <c r="K27" i="156"/>
  <c r="M27" i="156" s="1"/>
  <c r="G27" i="159"/>
  <c r="I27" i="159" s="1"/>
  <c r="G27" i="160"/>
  <c r="I27" i="160" s="1"/>
  <c r="G28" i="162"/>
  <c r="I28" i="162" s="1"/>
  <c r="K27" i="160"/>
  <c r="M27" i="160" s="1"/>
  <c r="K27" i="159"/>
  <c r="M27" i="159" s="1"/>
  <c r="C27" i="159"/>
  <c r="C27" i="160"/>
  <c r="K28" i="162"/>
  <c r="M28" i="162" s="1"/>
  <c r="M27" i="79"/>
  <c r="AA36" i="156"/>
  <c r="AC36" i="156" s="1"/>
  <c r="Y36" i="156"/>
  <c r="W42" i="156"/>
  <c r="Y42" i="156" s="1"/>
  <c r="Y47" i="156" s="1"/>
  <c r="AA35" i="156"/>
  <c r="Y35" i="156"/>
  <c r="K15" i="165"/>
  <c r="M15" i="165" s="1"/>
  <c r="M15" i="164"/>
  <c r="K28" i="160"/>
  <c r="M28" i="160" s="1"/>
  <c r="G28" i="156"/>
  <c r="C29" i="162"/>
  <c r="G28" i="159"/>
  <c r="I28" i="159" s="1"/>
  <c r="G29" i="162"/>
  <c r="I29" i="162" s="1"/>
  <c r="K29" i="162"/>
  <c r="M29" i="162" s="1"/>
  <c r="C28" i="160"/>
  <c r="K28" i="156"/>
  <c r="M28" i="156" s="1"/>
  <c r="C28" i="159"/>
  <c r="K28" i="159"/>
  <c r="M28" i="159" s="1"/>
  <c r="G28" i="160"/>
  <c r="I28" i="160" s="1"/>
  <c r="M28" i="79"/>
  <c r="AA34" i="156"/>
  <c r="AC34" i="156" s="1"/>
  <c r="Y34" i="156"/>
  <c r="O15" i="165"/>
  <c r="Q15" i="165" s="1"/>
  <c r="Q15" i="164"/>
  <c r="K27" i="165"/>
  <c r="M27" i="165" s="1"/>
  <c r="C27" i="165"/>
  <c r="E27" i="165" s="1"/>
  <c r="G27" i="165"/>
  <c r="I27" i="165" s="1"/>
  <c r="M27" i="164"/>
  <c r="O16" i="156"/>
  <c r="Q16" i="156" s="1"/>
  <c r="O16" i="160"/>
  <c r="Q16" i="160" s="1"/>
  <c r="O16" i="159"/>
  <c r="Q16" i="159" s="1"/>
  <c r="O17" i="162"/>
  <c r="Q17" i="162" s="1"/>
  <c r="Q16" i="79"/>
  <c r="O19" i="160"/>
  <c r="Q19" i="160" s="1"/>
  <c r="O19" i="159"/>
  <c r="Q19" i="159" s="1"/>
  <c r="O19" i="156"/>
  <c r="Q19" i="156" s="1"/>
  <c r="O20" i="162"/>
  <c r="Q20" i="162" s="1"/>
  <c r="Q19" i="79"/>
  <c r="O17" i="165"/>
  <c r="Q17" i="165" s="1"/>
  <c r="Q17" i="164"/>
  <c r="C19" i="159"/>
  <c r="K20" i="162"/>
  <c r="M20" i="162" s="1"/>
  <c r="K19" i="159"/>
  <c r="M19" i="159" s="1"/>
  <c r="G19" i="160"/>
  <c r="I19" i="160" s="1"/>
  <c r="K19" i="156"/>
  <c r="M19" i="156" s="1"/>
  <c r="K19" i="160"/>
  <c r="M19" i="160" s="1"/>
  <c r="G19" i="159"/>
  <c r="I19" i="159" s="1"/>
  <c r="G19" i="156"/>
  <c r="C19" i="160"/>
  <c r="G20" i="162"/>
  <c r="I20" i="162" s="1"/>
  <c r="C20" i="162"/>
  <c r="M19" i="79"/>
  <c r="W42" i="159"/>
  <c r="Y35" i="159"/>
  <c r="Y32" i="159"/>
  <c r="O16" i="162"/>
  <c r="Q16" i="162" s="1"/>
  <c r="O15" i="159"/>
  <c r="Q15" i="159" s="1"/>
  <c r="O15" i="156"/>
  <c r="Q15" i="156" s="1"/>
  <c r="O15" i="160"/>
  <c r="Q15" i="160" s="1"/>
  <c r="Q15" i="79"/>
  <c r="O16" i="165"/>
  <c r="Q16" i="165" s="1"/>
  <c r="Q16" i="164"/>
  <c r="Y31" i="159"/>
  <c r="W41" i="159"/>
  <c r="W39" i="159"/>
  <c r="E30" i="41"/>
  <c r="C40" i="41"/>
  <c r="C38" i="41"/>
  <c r="Y33" i="159"/>
  <c r="O18" i="162"/>
  <c r="Q18" i="162" s="1"/>
  <c r="O17" i="156"/>
  <c r="Q17" i="156" s="1"/>
  <c r="O17" i="160"/>
  <c r="Q17" i="160" s="1"/>
  <c r="O17" i="159"/>
  <c r="Q17" i="159" s="1"/>
  <c r="Q17" i="79"/>
  <c r="G19" i="165"/>
  <c r="I19" i="165" s="1"/>
  <c r="C19" i="165"/>
  <c r="K19" i="165"/>
  <c r="M19" i="165" s="1"/>
  <c r="M19" i="164"/>
  <c r="O19" i="165"/>
  <c r="Q19" i="165" s="1"/>
  <c r="Q19" i="164"/>
  <c r="S19" i="156" l="1"/>
  <c r="C9" i="193"/>
  <c r="C19" i="193" s="1"/>
  <c r="E40" i="41"/>
  <c r="E45" i="41" s="1"/>
  <c r="G9" i="191"/>
  <c r="G19" i="191" s="1"/>
  <c r="Y41" i="159"/>
  <c r="Y46" i="159" s="1"/>
  <c r="G17" i="165"/>
  <c r="I17" i="165" s="1"/>
  <c r="I17" i="164"/>
  <c r="Y42" i="159"/>
  <c r="Y47" i="159" s="1"/>
  <c r="S19" i="160"/>
  <c r="U19" i="160" s="1"/>
  <c r="E19" i="160"/>
  <c r="S19" i="159"/>
  <c r="E19" i="159"/>
  <c r="C17" i="165"/>
  <c r="K17" i="165"/>
  <c r="M17" i="165" s="1"/>
  <c r="M17" i="164"/>
  <c r="E28" i="160"/>
  <c r="C10" i="160"/>
  <c r="C11" i="162"/>
  <c r="C10" i="159"/>
  <c r="E10" i="79"/>
  <c r="E27" i="160"/>
  <c r="I27" i="156"/>
  <c r="S19" i="165"/>
  <c r="C19" i="33" s="1"/>
  <c r="E19" i="33" s="1"/>
  <c r="E19" i="165"/>
  <c r="G17" i="160"/>
  <c r="I17" i="160" s="1"/>
  <c r="G17" i="159"/>
  <c r="I17" i="159" s="1"/>
  <c r="G18" i="162"/>
  <c r="I18" i="162" s="1"/>
  <c r="I17" i="79"/>
  <c r="K10" i="156"/>
  <c r="M10" i="156" s="1"/>
  <c r="K10" i="159"/>
  <c r="M10" i="159" s="1"/>
  <c r="K10" i="160"/>
  <c r="M10" i="160" s="1"/>
  <c r="K11" i="162"/>
  <c r="M11" i="162" s="1"/>
  <c r="M10" i="79"/>
  <c r="E28" i="159"/>
  <c r="C10" i="165"/>
  <c r="E10" i="164"/>
  <c r="E27" i="159"/>
  <c r="E28" i="162"/>
  <c r="E9" i="193"/>
  <c r="E19" i="193" s="1"/>
  <c r="E38" i="41"/>
  <c r="E43" i="41" s="1"/>
  <c r="K10" i="165"/>
  <c r="M10" i="165" s="1"/>
  <c r="M10" i="164"/>
  <c r="S20" i="162"/>
  <c r="U20" i="162" s="1"/>
  <c r="E20" i="162"/>
  <c r="I19" i="156"/>
  <c r="E29" i="162"/>
  <c r="O10" i="160"/>
  <c r="Q10" i="160" s="1"/>
  <c r="O10" i="159"/>
  <c r="Q10" i="159" s="1"/>
  <c r="O10" i="156"/>
  <c r="Q10" i="156" s="1"/>
  <c r="O11" i="162"/>
  <c r="Q11" i="162" s="1"/>
  <c r="Q10" i="79"/>
  <c r="G9" i="187"/>
  <c r="G19" i="187" s="1"/>
  <c r="Y41" i="156"/>
  <c r="Y46" i="156" s="1"/>
  <c r="G10" i="165"/>
  <c r="I10" i="165" s="1"/>
  <c r="I10" i="164"/>
  <c r="I9" i="191"/>
  <c r="I19" i="191" s="1"/>
  <c r="Y39" i="159"/>
  <c r="Y44" i="159" s="1"/>
  <c r="C17" i="160"/>
  <c r="K17" i="156"/>
  <c r="K18" i="162"/>
  <c r="M18" i="162" s="1"/>
  <c r="K17" i="159"/>
  <c r="M17" i="159" s="1"/>
  <c r="C18" i="162"/>
  <c r="C17" i="159"/>
  <c r="K17" i="160"/>
  <c r="M17" i="160" s="1"/>
  <c r="M17" i="79"/>
  <c r="I28" i="156"/>
  <c r="AA42" i="156"/>
  <c r="AC42" i="156" s="1"/>
  <c r="AC47" i="156" s="1"/>
  <c r="AC35" i="156"/>
  <c r="O10" i="165"/>
  <c r="Q10" i="165" s="1"/>
  <c r="Q10" i="164"/>
  <c r="I9" i="187"/>
  <c r="I19" i="187" s="1"/>
  <c r="Y39" i="156"/>
  <c r="Y44" i="156" s="1"/>
  <c r="G10" i="156"/>
  <c r="G10" i="159"/>
  <c r="I10" i="159" s="1"/>
  <c r="G10" i="160"/>
  <c r="I10" i="160" s="1"/>
  <c r="G11" i="162"/>
  <c r="I11" i="162" s="1"/>
  <c r="I10" i="79"/>
  <c r="S10" i="156" l="1"/>
  <c r="M17" i="156"/>
  <c r="S17" i="156"/>
  <c r="I9" i="221"/>
  <c r="G9" i="221"/>
  <c r="G19" i="221" s="1"/>
  <c r="S11" i="162"/>
  <c r="U11" i="162" s="1"/>
  <c r="E11" i="162"/>
  <c r="I10" i="156"/>
  <c r="S17" i="159"/>
  <c r="E17" i="159"/>
  <c r="I17" i="156"/>
  <c r="S17" i="160"/>
  <c r="U17" i="160" s="1"/>
  <c r="E17" i="160"/>
  <c r="E9" i="184"/>
  <c r="E19" i="184" s="1"/>
  <c r="E12" i="193"/>
  <c r="S10" i="165"/>
  <c r="C10" i="33" s="1"/>
  <c r="E10" i="33" s="1"/>
  <c r="E10" i="165"/>
  <c r="AA19" i="165"/>
  <c r="AC19" i="165" s="1"/>
  <c r="U19" i="165"/>
  <c r="O21" i="165"/>
  <c r="Q21" i="165" s="1"/>
  <c r="Q21" i="164"/>
  <c r="G9" i="192"/>
  <c r="G19" i="192" s="1"/>
  <c r="G12" i="191"/>
  <c r="S17" i="165"/>
  <c r="C17" i="33" s="1"/>
  <c r="E17" i="33" s="1"/>
  <c r="E17" i="165"/>
  <c r="AA19" i="156"/>
  <c r="AC19" i="156" s="1"/>
  <c r="U19" i="156"/>
  <c r="C21" i="159"/>
  <c r="C22" i="162"/>
  <c r="G21" i="159"/>
  <c r="C21" i="160"/>
  <c r="G22" i="162"/>
  <c r="I22" i="162" s="1"/>
  <c r="G21" i="160"/>
  <c r="K21" i="159"/>
  <c r="G21" i="156"/>
  <c r="K21" i="160"/>
  <c r="K21" i="156"/>
  <c r="K22" i="162"/>
  <c r="M22" i="162" s="1"/>
  <c r="M21" i="79"/>
  <c r="S10" i="159"/>
  <c r="E10" i="159"/>
  <c r="O21" i="156"/>
  <c r="O21" i="160"/>
  <c r="O22" i="162"/>
  <c r="Q22" i="162" s="1"/>
  <c r="O21" i="159"/>
  <c r="Q21" i="79"/>
  <c r="S10" i="160"/>
  <c r="U10" i="160" s="1"/>
  <c r="E10" i="160"/>
  <c r="I9" i="194"/>
  <c r="I19" i="194" s="1"/>
  <c r="I12" i="187"/>
  <c r="S18" i="162"/>
  <c r="U18" i="162" s="1"/>
  <c r="E18" i="162"/>
  <c r="I9" i="192"/>
  <c r="I19" i="192" s="1"/>
  <c r="I12" i="191"/>
  <c r="G9" i="194"/>
  <c r="G19" i="194" s="1"/>
  <c r="G12" i="187"/>
  <c r="G21" i="165"/>
  <c r="I21" i="165" s="1"/>
  <c r="K21" i="165"/>
  <c r="M21" i="165" s="1"/>
  <c r="C21" i="165"/>
  <c r="M21" i="164"/>
  <c r="U19" i="159"/>
  <c r="C9" i="184"/>
  <c r="C19" i="184" s="1"/>
  <c r="C12" i="193"/>
  <c r="I19" i="221" l="1"/>
  <c r="F9" i="242"/>
  <c r="G9" i="242" s="1"/>
  <c r="G19" i="242" s="1"/>
  <c r="S21" i="156"/>
  <c r="C22" i="193"/>
  <c r="C25" i="193"/>
  <c r="C27" i="193" s="1"/>
  <c r="G22" i="187"/>
  <c r="G25" i="187"/>
  <c r="G27" i="187" s="1"/>
  <c r="I22" i="187"/>
  <c r="I25" i="187"/>
  <c r="I27" i="187" s="1"/>
  <c r="E22" i="193"/>
  <c r="E25" i="193"/>
  <c r="E27" i="193" s="1"/>
  <c r="I22" i="191"/>
  <c r="I25" i="191"/>
  <c r="I27" i="191" s="1"/>
  <c r="G22" i="191"/>
  <c r="G25" i="191"/>
  <c r="G27" i="191" s="1"/>
  <c r="I12" i="192"/>
  <c r="M21" i="159"/>
  <c r="S21" i="160"/>
  <c r="E21" i="160"/>
  <c r="I21" i="159"/>
  <c r="S21" i="159"/>
  <c r="E21" i="159"/>
  <c r="G12" i="192"/>
  <c r="K19" i="33"/>
  <c r="M19" i="33" s="1"/>
  <c r="C12" i="184"/>
  <c r="S21" i="165"/>
  <c r="C21" i="33" s="1"/>
  <c r="E21" i="33" s="1"/>
  <c r="E21" i="165"/>
  <c r="G12" i="194"/>
  <c r="I12" i="194"/>
  <c r="Q21" i="160"/>
  <c r="U10" i="159"/>
  <c r="I21" i="160"/>
  <c r="G9" i="222"/>
  <c r="G12" i="221"/>
  <c r="AA10" i="165"/>
  <c r="U10" i="165"/>
  <c r="AA17" i="156"/>
  <c r="AC17" i="156" s="1"/>
  <c r="U17" i="156"/>
  <c r="U17" i="159"/>
  <c r="AA10" i="156"/>
  <c r="AC10" i="156" s="1"/>
  <c r="U10" i="156"/>
  <c r="Q21" i="159"/>
  <c r="Q21" i="156"/>
  <c r="M21" i="156"/>
  <c r="I21" i="156"/>
  <c r="AA17" i="165"/>
  <c r="AC17" i="165" s="1"/>
  <c r="U17" i="165"/>
  <c r="M21" i="160"/>
  <c r="S22" i="162"/>
  <c r="U22" i="162" s="1"/>
  <c r="E22" i="162"/>
  <c r="E12" i="184"/>
  <c r="I9" i="222"/>
  <c r="I12" i="221"/>
  <c r="I19" i="222" l="1"/>
  <c r="G19" i="222"/>
  <c r="G25" i="242"/>
  <c r="G27" i="242" s="1"/>
  <c r="G22" i="242"/>
  <c r="F19" i="242"/>
  <c r="F9" i="243"/>
  <c r="F12" i="242"/>
  <c r="AC10" i="165"/>
  <c r="C22" i="184"/>
  <c r="C25" i="184"/>
  <c r="C27" i="184" s="1"/>
  <c r="I22" i="221"/>
  <c r="I25" i="221"/>
  <c r="I27" i="221" s="1"/>
  <c r="E22" i="184"/>
  <c r="E25" i="184"/>
  <c r="E27" i="184" s="1"/>
  <c r="G22" i="194"/>
  <c r="G25" i="194"/>
  <c r="G27" i="194" s="1"/>
  <c r="G22" i="192"/>
  <c r="G25" i="192"/>
  <c r="G27" i="192" s="1"/>
  <c r="I22" i="192"/>
  <c r="I25" i="192"/>
  <c r="I27" i="192" s="1"/>
  <c r="G22" i="221"/>
  <c r="G25" i="221"/>
  <c r="G27" i="221" s="1"/>
  <c r="I22" i="194"/>
  <c r="I25" i="194"/>
  <c r="I27" i="194" s="1"/>
  <c r="I12" i="222"/>
  <c r="K17" i="33"/>
  <c r="M17" i="33" s="1"/>
  <c r="U21" i="159"/>
  <c r="AA21" i="156"/>
  <c r="U21" i="156"/>
  <c r="K10" i="33"/>
  <c r="M10" i="33" s="1"/>
  <c r="U21" i="160"/>
  <c r="G12" i="222"/>
  <c r="AA21" i="165"/>
  <c r="AC21" i="165" s="1"/>
  <c r="U21" i="165"/>
  <c r="G9" i="243" l="1"/>
  <c r="G12" i="242"/>
  <c r="F19" i="243"/>
  <c r="F12" i="243"/>
  <c r="F25" i="242"/>
  <c r="F22" i="242"/>
  <c r="G22" i="222"/>
  <c r="G25" i="222"/>
  <c r="G27" i="222" s="1"/>
  <c r="I22" i="222"/>
  <c r="I25" i="222"/>
  <c r="I27" i="222" s="1"/>
  <c r="O28" i="162"/>
  <c r="O27" i="160"/>
  <c r="O27" i="159"/>
  <c r="Q27" i="79"/>
  <c r="O27" i="156"/>
  <c r="S27" i="156" s="1"/>
  <c r="O14" i="162"/>
  <c r="O13" i="160"/>
  <c r="Q13" i="160" s="1"/>
  <c r="Q13" i="79"/>
  <c r="O13" i="159"/>
  <c r="Q13" i="159" s="1"/>
  <c r="O13" i="156"/>
  <c r="Q13" i="156" s="1"/>
  <c r="G11" i="160"/>
  <c r="I11" i="160" s="1"/>
  <c r="G12" i="162"/>
  <c r="G11" i="159"/>
  <c r="I11" i="159" s="1"/>
  <c r="G11" i="156"/>
  <c r="I11" i="79"/>
  <c r="K7" i="162"/>
  <c r="K7" i="156"/>
  <c r="K7" i="160"/>
  <c r="K7" i="159"/>
  <c r="M7" i="79"/>
  <c r="K17" i="162"/>
  <c r="M17" i="162" s="1"/>
  <c r="K16" i="156"/>
  <c r="K16" i="160"/>
  <c r="M16" i="160" s="1"/>
  <c r="K16" i="159"/>
  <c r="M16" i="159" s="1"/>
  <c r="M16" i="79"/>
  <c r="C13" i="165"/>
  <c r="O25" i="165"/>
  <c r="Q25" i="165" s="1"/>
  <c r="Q25" i="164"/>
  <c r="O21" i="162"/>
  <c r="Q21" i="162" s="1"/>
  <c r="O20" i="156"/>
  <c r="Q20" i="156" s="1"/>
  <c r="Q20" i="79"/>
  <c r="O20" i="159"/>
  <c r="Q20" i="159" s="1"/>
  <c r="O20" i="160"/>
  <c r="Q20" i="160" s="1"/>
  <c r="O14" i="165"/>
  <c r="Q14" i="165" s="1"/>
  <c r="Q14" i="164"/>
  <c r="G12" i="165"/>
  <c r="I12" i="165" s="1"/>
  <c r="I12" i="164"/>
  <c r="K8" i="165"/>
  <c r="M8" i="165" s="1"/>
  <c r="M8" i="164"/>
  <c r="C9" i="165"/>
  <c r="E9" i="164"/>
  <c r="C20" i="165"/>
  <c r="G20" i="165"/>
  <c r="I20" i="165" s="1"/>
  <c r="K20" i="165"/>
  <c r="M20" i="165" s="1"/>
  <c r="M20" i="164"/>
  <c r="C8" i="165"/>
  <c r="E8" i="164"/>
  <c r="O28" i="156"/>
  <c r="S28" i="156" s="1"/>
  <c r="O28" i="159"/>
  <c r="Q28" i="79"/>
  <c r="O28" i="160"/>
  <c r="O29" i="162"/>
  <c r="O24" i="162"/>
  <c r="Q24" i="162" s="1"/>
  <c r="O23" i="156"/>
  <c r="Q23" i="156" s="1"/>
  <c r="O23" i="159"/>
  <c r="Q23" i="159" s="1"/>
  <c r="O23" i="160"/>
  <c r="Q23" i="160" s="1"/>
  <c r="Q23" i="79"/>
  <c r="G16" i="160"/>
  <c r="I16" i="160" s="1"/>
  <c r="G17" i="162"/>
  <c r="I17" i="162" s="1"/>
  <c r="G16" i="159"/>
  <c r="I16" i="159" s="1"/>
  <c r="I16" i="79"/>
  <c r="Q12" i="79"/>
  <c r="O13" i="162"/>
  <c r="Q13" i="162" s="1"/>
  <c r="O12" i="156"/>
  <c r="Q12" i="156" s="1"/>
  <c r="O12" i="160"/>
  <c r="Q12" i="160" s="1"/>
  <c r="O12" i="159"/>
  <c r="Q12" i="159" s="1"/>
  <c r="G9" i="165"/>
  <c r="I9" i="165" s="1"/>
  <c r="I9" i="164"/>
  <c r="C13" i="162"/>
  <c r="C12" i="160"/>
  <c r="C12" i="159"/>
  <c r="E12" i="79"/>
  <c r="O22" i="165"/>
  <c r="Q22" i="165" s="1"/>
  <c r="Q22" i="164"/>
  <c r="O11" i="159"/>
  <c r="Q11" i="159" s="1"/>
  <c r="O11" i="160"/>
  <c r="Q11" i="160" s="1"/>
  <c r="O11" i="156"/>
  <c r="Q11" i="156" s="1"/>
  <c r="O12" i="162"/>
  <c r="Q11" i="79"/>
  <c r="O27" i="165"/>
  <c r="Q27" i="164"/>
  <c r="G23" i="165"/>
  <c r="I23" i="165" s="1"/>
  <c r="K23" i="165"/>
  <c r="M23" i="165" s="1"/>
  <c r="C23" i="165"/>
  <c r="M23" i="164"/>
  <c r="O13" i="165"/>
  <c r="Q13" i="165" s="1"/>
  <c r="Q13" i="164"/>
  <c r="G11" i="165"/>
  <c r="I11" i="165" s="1"/>
  <c r="I11" i="164"/>
  <c r="K7" i="165"/>
  <c r="M7" i="164"/>
  <c r="K25" i="165"/>
  <c r="M25" i="165" s="1"/>
  <c r="C25" i="165"/>
  <c r="G25" i="165"/>
  <c r="I25" i="165" s="1"/>
  <c r="M25" i="164"/>
  <c r="K9" i="156"/>
  <c r="M9" i="156" s="1"/>
  <c r="K9" i="159"/>
  <c r="M9" i="159" s="1"/>
  <c r="K10" i="162"/>
  <c r="M10" i="162" s="1"/>
  <c r="K9" i="160"/>
  <c r="M9" i="160" s="1"/>
  <c r="M9" i="79"/>
  <c r="C25" i="162"/>
  <c r="G25" i="162"/>
  <c r="I25" i="162" s="1"/>
  <c r="C24" i="159"/>
  <c r="K24" i="160"/>
  <c r="M24" i="160" s="1"/>
  <c r="G24" i="160"/>
  <c r="I24" i="160" s="1"/>
  <c r="K25" i="162"/>
  <c r="M25" i="162" s="1"/>
  <c r="K24" i="156"/>
  <c r="M24" i="156" s="1"/>
  <c r="C24" i="160"/>
  <c r="G24" i="159"/>
  <c r="I24" i="159" s="1"/>
  <c r="K24" i="159"/>
  <c r="M24" i="159" s="1"/>
  <c r="G24" i="156"/>
  <c r="M24" i="79"/>
  <c r="C18" i="165"/>
  <c r="G18" i="165"/>
  <c r="I18" i="165" s="1"/>
  <c r="K18" i="165"/>
  <c r="M18" i="165" s="1"/>
  <c r="M18" i="164"/>
  <c r="K13" i="165"/>
  <c r="M13" i="165" s="1"/>
  <c r="M13" i="164"/>
  <c r="Q9" i="79"/>
  <c r="O9" i="160"/>
  <c r="Q9" i="160" s="1"/>
  <c r="O9" i="159"/>
  <c r="Q9" i="159" s="1"/>
  <c r="O9" i="156"/>
  <c r="Q9" i="156" s="1"/>
  <c r="O10" i="162"/>
  <c r="Q10" i="162" s="1"/>
  <c r="G7" i="162"/>
  <c r="G7" i="156"/>
  <c r="G7" i="159"/>
  <c r="G7" i="160"/>
  <c r="I7" i="79"/>
  <c r="O29" i="165"/>
  <c r="Q29" i="164"/>
  <c r="G13" i="165"/>
  <c r="I13" i="165" s="1"/>
  <c r="I13" i="164"/>
  <c r="O28" i="165"/>
  <c r="Q28" i="164"/>
  <c r="O23" i="165"/>
  <c r="Q23" i="165" s="1"/>
  <c r="Q23" i="164"/>
  <c r="G16" i="165"/>
  <c r="I16" i="165" s="1"/>
  <c r="I16" i="164"/>
  <c r="O12" i="165"/>
  <c r="Q12" i="165" s="1"/>
  <c r="Q12" i="164"/>
  <c r="G10" i="162"/>
  <c r="I10" i="162" s="1"/>
  <c r="G9" i="160"/>
  <c r="I9" i="160" s="1"/>
  <c r="G9" i="156"/>
  <c r="G9" i="159"/>
  <c r="I9" i="159" s="1"/>
  <c r="I9" i="79"/>
  <c r="C12" i="165"/>
  <c r="Q22" i="79"/>
  <c r="O23" i="162"/>
  <c r="Q23" i="162" s="1"/>
  <c r="O22" i="160"/>
  <c r="O22" i="156"/>
  <c r="O22" i="159"/>
  <c r="O11" i="165"/>
  <c r="Q11" i="165" s="1"/>
  <c r="Q11" i="164"/>
  <c r="K24" i="162"/>
  <c r="M24" i="162" s="1"/>
  <c r="K23" i="156"/>
  <c r="M23" i="156" s="1"/>
  <c r="K23" i="160"/>
  <c r="M23" i="160" s="1"/>
  <c r="G24" i="162"/>
  <c r="I24" i="162" s="1"/>
  <c r="G23" i="160"/>
  <c r="I23" i="160" s="1"/>
  <c r="G23" i="156"/>
  <c r="C24" i="162"/>
  <c r="G23" i="159"/>
  <c r="I23" i="159" s="1"/>
  <c r="K23" i="159"/>
  <c r="M23" i="159" s="1"/>
  <c r="C23" i="159"/>
  <c r="C23" i="160"/>
  <c r="M23" i="79"/>
  <c r="O24" i="165"/>
  <c r="Q24" i="165" s="1"/>
  <c r="Q24" i="164"/>
  <c r="G15" i="165"/>
  <c r="I15" i="164"/>
  <c r="K12" i="156"/>
  <c r="M12" i="156" s="1"/>
  <c r="K12" i="159"/>
  <c r="M12" i="159" s="1"/>
  <c r="K12" i="160"/>
  <c r="M12" i="160" s="1"/>
  <c r="K13" i="162"/>
  <c r="M13" i="162" s="1"/>
  <c r="M12" i="79"/>
  <c r="O8" i="165"/>
  <c r="Q8" i="165" s="1"/>
  <c r="Q8" i="164"/>
  <c r="C12" i="162"/>
  <c r="C11" i="160"/>
  <c r="C11" i="159"/>
  <c r="E11" i="79"/>
  <c r="K25" i="160"/>
  <c r="M25" i="160" s="1"/>
  <c r="K26" i="162"/>
  <c r="M26" i="162" s="1"/>
  <c r="G25" i="156"/>
  <c r="G25" i="159"/>
  <c r="I25" i="159" s="1"/>
  <c r="K25" i="156"/>
  <c r="M25" i="156" s="1"/>
  <c r="M25" i="79"/>
  <c r="C25" i="160"/>
  <c r="K25" i="159"/>
  <c r="M25" i="159" s="1"/>
  <c r="G26" i="162"/>
  <c r="I26" i="162" s="1"/>
  <c r="G25" i="160"/>
  <c r="I25" i="160" s="1"/>
  <c r="C26" i="162"/>
  <c r="C25" i="159"/>
  <c r="K9" i="165"/>
  <c r="M9" i="165" s="1"/>
  <c r="M9" i="164"/>
  <c r="K21" i="33"/>
  <c r="M21" i="33" s="1"/>
  <c r="K24" i="165"/>
  <c r="M24" i="165" s="1"/>
  <c r="G24" i="165"/>
  <c r="I24" i="165" s="1"/>
  <c r="C24" i="165"/>
  <c r="M24" i="164"/>
  <c r="G19" i="162"/>
  <c r="I19" i="162" s="1"/>
  <c r="C19" i="162"/>
  <c r="G18" i="159"/>
  <c r="I18" i="159" s="1"/>
  <c r="G18" i="160"/>
  <c r="I18" i="160" s="1"/>
  <c r="K18" i="159"/>
  <c r="M18" i="159" s="1"/>
  <c r="K19" i="162"/>
  <c r="M19" i="162" s="1"/>
  <c r="K18" i="160"/>
  <c r="M18" i="160" s="1"/>
  <c r="C18" i="160"/>
  <c r="K18" i="156"/>
  <c r="C18" i="159"/>
  <c r="M18" i="79"/>
  <c r="K13" i="160"/>
  <c r="M13" i="160" s="1"/>
  <c r="K14" i="162"/>
  <c r="K13" i="159"/>
  <c r="M13" i="159" s="1"/>
  <c r="K13" i="156"/>
  <c r="M13" i="156" s="1"/>
  <c r="M13" i="79"/>
  <c r="O9" i="165"/>
  <c r="Q9" i="165" s="1"/>
  <c r="Q9" i="164"/>
  <c r="G7" i="165"/>
  <c r="I7" i="164"/>
  <c r="AC21" i="156"/>
  <c r="O30" i="162"/>
  <c r="O29" i="159"/>
  <c r="O29" i="156"/>
  <c r="S29" i="156" s="1"/>
  <c r="Q29" i="79"/>
  <c r="O29" i="160"/>
  <c r="G13" i="160"/>
  <c r="I13" i="160" s="1"/>
  <c r="G14" i="162"/>
  <c r="G13" i="156"/>
  <c r="G13" i="159"/>
  <c r="I13" i="159" s="1"/>
  <c r="I13" i="79"/>
  <c r="C26" i="165"/>
  <c r="G26" i="165"/>
  <c r="I26" i="165" s="1"/>
  <c r="K26" i="165"/>
  <c r="M26" i="165" s="1"/>
  <c r="M26" i="164"/>
  <c r="G22" i="165"/>
  <c r="I22" i="165" s="1"/>
  <c r="K22" i="165"/>
  <c r="M22" i="165" s="1"/>
  <c r="C22" i="165"/>
  <c r="M22" i="164"/>
  <c r="G14" i="165"/>
  <c r="I14" i="164"/>
  <c r="K11" i="159"/>
  <c r="M11" i="159" s="1"/>
  <c r="K11" i="160"/>
  <c r="M11" i="160" s="1"/>
  <c r="K11" i="156"/>
  <c r="M11" i="156" s="1"/>
  <c r="K12" i="162"/>
  <c r="M11" i="79"/>
  <c r="Q7" i="79"/>
  <c r="O7" i="160"/>
  <c r="O7" i="162"/>
  <c r="O7" i="156"/>
  <c r="O7" i="159"/>
  <c r="C7" i="160"/>
  <c r="C7" i="162"/>
  <c r="C7" i="159"/>
  <c r="E7" i="79"/>
  <c r="O26" i="165"/>
  <c r="Q26" i="165" s="1"/>
  <c r="Q26" i="164"/>
  <c r="K14" i="165"/>
  <c r="M14" i="165" s="1"/>
  <c r="M14" i="164"/>
  <c r="G8" i="162"/>
  <c r="I8" i="162" s="1"/>
  <c r="G8" i="159"/>
  <c r="I8" i="159" s="1"/>
  <c r="G8" i="156"/>
  <c r="G9" i="162"/>
  <c r="G8" i="160"/>
  <c r="I8" i="160" s="1"/>
  <c r="I8" i="79"/>
  <c r="O24" i="156"/>
  <c r="Q24" i="156" s="1"/>
  <c r="O24" i="160"/>
  <c r="Q24" i="160" s="1"/>
  <c r="O25" i="162"/>
  <c r="Q25" i="162" s="1"/>
  <c r="Q24" i="79"/>
  <c r="O24" i="159"/>
  <c r="Q24" i="159" s="1"/>
  <c r="G15" i="160"/>
  <c r="G16" i="162"/>
  <c r="G15" i="159"/>
  <c r="G15" i="156"/>
  <c r="S15" i="156" s="1"/>
  <c r="I15" i="79"/>
  <c r="K12" i="165"/>
  <c r="M12" i="165" s="1"/>
  <c r="M12" i="164"/>
  <c r="O9" i="162"/>
  <c r="Q8" i="79"/>
  <c r="O8" i="156"/>
  <c r="Q8" i="156" s="1"/>
  <c r="O8" i="159"/>
  <c r="Q8" i="159" s="1"/>
  <c r="O8" i="160"/>
  <c r="Q8" i="160" s="1"/>
  <c r="O8" i="162"/>
  <c r="Q8" i="162" s="1"/>
  <c r="C11" i="165"/>
  <c r="E11" i="164"/>
  <c r="K16" i="165"/>
  <c r="M16" i="165" s="1"/>
  <c r="M16" i="164"/>
  <c r="C14" i="162"/>
  <c r="C13" i="160"/>
  <c r="C13" i="159"/>
  <c r="E13" i="79"/>
  <c r="Q25" i="79"/>
  <c r="O25" i="156"/>
  <c r="Q25" i="156" s="1"/>
  <c r="O25" i="160"/>
  <c r="Q25" i="160" s="1"/>
  <c r="O25" i="159"/>
  <c r="Q25" i="159" s="1"/>
  <c r="O26" i="162"/>
  <c r="Q26" i="162" s="1"/>
  <c r="O20" i="165"/>
  <c r="Q20" i="165" s="1"/>
  <c r="Q20" i="164"/>
  <c r="Q14" i="79"/>
  <c r="O15" i="162"/>
  <c r="Q15" i="162" s="1"/>
  <c r="O14" i="159"/>
  <c r="Q14" i="159" s="1"/>
  <c r="O14" i="156"/>
  <c r="Q14" i="156" s="1"/>
  <c r="O14" i="160"/>
  <c r="Q14" i="160" s="1"/>
  <c r="G13" i="162"/>
  <c r="I13" i="162" s="1"/>
  <c r="G12" i="156"/>
  <c r="G12" i="160"/>
  <c r="I12" i="160" s="1"/>
  <c r="G12" i="159"/>
  <c r="I12" i="159" s="1"/>
  <c r="I12" i="79"/>
  <c r="K8" i="162"/>
  <c r="M8" i="162" s="1"/>
  <c r="K9" i="162"/>
  <c r="K8" i="156"/>
  <c r="M8" i="156" s="1"/>
  <c r="K8" i="159"/>
  <c r="M8" i="159" s="1"/>
  <c r="K8" i="160"/>
  <c r="M8" i="160" s="1"/>
  <c r="M8" i="79"/>
  <c r="C9" i="160"/>
  <c r="C10" i="162"/>
  <c r="C9" i="159"/>
  <c r="E9" i="79"/>
  <c r="G20" i="156"/>
  <c r="K20" i="159"/>
  <c r="M20" i="159" s="1"/>
  <c r="G20" i="160"/>
  <c r="I20" i="160" s="1"/>
  <c r="K20" i="156"/>
  <c r="M20" i="156" s="1"/>
  <c r="C20" i="159"/>
  <c r="G21" i="162"/>
  <c r="I21" i="162" s="1"/>
  <c r="K20" i="160"/>
  <c r="M20" i="160" s="1"/>
  <c r="C20" i="160"/>
  <c r="C21" i="162"/>
  <c r="K21" i="162"/>
  <c r="M21" i="162" s="1"/>
  <c r="G20" i="159"/>
  <c r="I20" i="159" s="1"/>
  <c r="M20" i="79"/>
  <c r="C8" i="162"/>
  <c r="C8" i="160"/>
  <c r="C9" i="162"/>
  <c r="C8" i="159"/>
  <c r="E8" i="79"/>
  <c r="C27" i="162"/>
  <c r="M26" i="79"/>
  <c r="G26" i="156"/>
  <c r="G26" i="160"/>
  <c r="I26" i="160" s="1"/>
  <c r="K27" i="162"/>
  <c r="M27" i="162" s="1"/>
  <c r="G27" i="162"/>
  <c r="I27" i="162" s="1"/>
  <c r="K26" i="160"/>
  <c r="M26" i="160" s="1"/>
  <c r="C26" i="159"/>
  <c r="C26" i="160"/>
  <c r="G26" i="159"/>
  <c r="I26" i="159" s="1"/>
  <c r="K26" i="156"/>
  <c r="M26" i="156" s="1"/>
  <c r="K26" i="159"/>
  <c r="M26" i="159" s="1"/>
  <c r="K22" i="160"/>
  <c r="G22" i="156"/>
  <c r="K23" i="162"/>
  <c r="M23" i="162" s="1"/>
  <c r="K22" i="156"/>
  <c r="G22" i="160"/>
  <c r="G23" i="162"/>
  <c r="I23" i="162" s="1"/>
  <c r="C22" i="160"/>
  <c r="C23" i="162"/>
  <c r="G22" i="159"/>
  <c r="K22" i="159"/>
  <c r="C22" i="159"/>
  <c r="M22" i="79"/>
  <c r="G15" i="162"/>
  <c r="G14" i="160"/>
  <c r="G14" i="156"/>
  <c r="G14" i="159"/>
  <c r="I14" i="79"/>
  <c r="K11" i="165"/>
  <c r="M11" i="165" s="1"/>
  <c r="M11" i="164"/>
  <c r="O7" i="165"/>
  <c r="Q7" i="164"/>
  <c r="C7" i="165"/>
  <c r="E7" i="164"/>
  <c r="O27" i="162"/>
  <c r="Q27" i="162" s="1"/>
  <c r="O26" i="156"/>
  <c r="Q26" i="156" s="1"/>
  <c r="O26" i="159"/>
  <c r="Q26" i="159" s="1"/>
  <c r="Q26" i="79"/>
  <c r="O26" i="160"/>
  <c r="Q26" i="160" s="1"/>
  <c r="K14" i="159"/>
  <c r="M14" i="159" s="1"/>
  <c r="K14" i="156"/>
  <c r="M14" i="156" s="1"/>
  <c r="K14" i="160"/>
  <c r="M14" i="160" s="1"/>
  <c r="K15" i="162"/>
  <c r="M15" i="162" s="1"/>
  <c r="M14" i="79"/>
  <c r="G8" i="165"/>
  <c r="I8" i="165" s="1"/>
  <c r="I8" i="164"/>
  <c r="F25" i="243" l="1"/>
  <c r="F27" i="243" s="1"/>
  <c r="F22" i="243"/>
  <c r="F27" i="242"/>
  <c r="G19" i="243"/>
  <c r="G12" i="243"/>
  <c r="S9" i="156"/>
  <c r="S12" i="156"/>
  <c r="S13" i="156"/>
  <c r="S20" i="156"/>
  <c r="S23" i="156"/>
  <c r="S8" i="156"/>
  <c r="S25" i="156"/>
  <c r="S14" i="156"/>
  <c r="S7" i="156"/>
  <c r="S22" i="156"/>
  <c r="S24" i="156"/>
  <c r="S26" i="156"/>
  <c r="M18" i="156"/>
  <c r="S18" i="156"/>
  <c r="M16" i="156"/>
  <c r="S16" i="156"/>
  <c r="S11" i="156"/>
  <c r="I14" i="159"/>
  <c r="S14" i="159"/>
  <c r="E26" i="160"/>
  <c r="S26" i="160"/>
  <c r="U26" i="160" s="1"/>
  <c r="S9" i="160"/>
  <c r="U9" i="160" s="1"/>
  <c r="E9" i="160"/>
  <c r="E7" i="159"/>
  <c r="S7" i="159"/>
  <c r="C39" i="159"/>
  <c r="E39" i="159" s="1"/>
  <c r="E44" i="159" s="1"/>
  <c r="C40" i="159"/>
  <c r="E40" i="159" s="1"/>
  <c r="E45" i="159" s="1"/>
  <c r="Q7" i="159"/>
  <c r="O40" i="159"/>
  <c r="Q40" i="159" s="1"/>
  <c r="Q45" i="159" s="1"/>
  <c r="O39" i="159"/>
  <c r="Q39" i="159" s="1"/>
  <c r="Q44" i="159" s="1"/>
  <c r="S29" i="159"/>
  <c r="Q29" i="159"/>
  <c r="S19" i="162"/>
  <c r="U19" i="162" s="1"/>
  <c r="E19" i="162"/>
  <c r="G39" i="159"/>
  <c r="I39" i="159" s="1"/>
  <c r="I44" i="159" s="1"/>
  <c r="G40" i="159"/>
  <c r="I40" i="159" s="1"/>
  <c r="I45" i="159" s="1"/>
  <c r="I7" i="159"/>
  <c r="G41" i="162"/>
  <c r="I41" i="162" s="1"/>
  <c r="I47" i="162" s="1"/>
  <c r="G40" i="162"/>
  <c r="I40" i="162" s="1"/>
  <c r="I46" i="162" s="1"/>
  <c r="I7" i="162"/>
  <c r="S24" i="160"/>
  <c r="U24" i="160" s="1"/>
  <c r="E24" i="160"/>
  <c r="S23" i="165"/>
  <c r="C23" i="33" s="1"/>
  <c r="E23" i="33" s="1"/>
  <c r="E23" i="165"/>
  <c r="Q29" i="162"/>
  <c r="S29" i="162"/>
  <c r="U29" i="162" s="1"/>
  <c r="S20" i="165"/>
  <c r="C20" i="33" s="1"/>
  <c r="E20" i="33" s="1"/>
  <c r="E20" i="165"/>
  <c r="I16" i="156"/>
  <c r="K40" i="156"/>
  <c r="M40" i="156" s="1"/>
  <c r="M45" i="156" s="1"/>
  <c r="K39" i="156"/>
  <c r="M39" i="156" s="1"/>
  <c r="M44" i="156" s="1"/>
  <c r="M7" i="156"/>
  <c r="Q27" i="156"/>
  <c r="Q27" i="159"/>
  <c r="S27" i="159"/>
  <c r="Q28" i="162"/>
  <c r="S28" i="162"/>
  <c r="U28" i="162" s="1"/>
  <c r="I14" i="160"/>
  <c r="S14" i="160"/>
  <c r="U14" i="160" s="1"/>
  <c r="S22" i="159"/>
  <c r="E22" i="159"/>
  <c r="C41" i="159"/>
  <c r="E41" i="159" s="1"/>
  <c r="E46" i="159" s="1"/>
  <c r="S22" i="160"/>
  <c r="E22" i="160"/>
  <c r="C41" i="160"/>
  <c r="E41" i="160" s="1"/>
  <c r="E46" i="160" s="1"/>
  <c r="M22" i="160"/>
  <c r="K41" i="160"/>
  <c r="M41" i="160" s="1"/>
  <c r="M46" i="160" s="1"/>
  <c r="E26" i="159"/>
  <c r="S26" i="159"/>
  <c r="I26" i="156"/>
  <c r="E27" i="162"/>
  <c r="S27" i="162"/>
  <c r="U27" i="162" s="1"/>
  <c r="S20" i="160"/>
  <c r="U20" i="160" s="1"/>
  <c r="E20" i="160"/>
  <c r="K42" i="162"/>
  <c r="M42" i="162" s="1"/>
  <c r="M48" i="162" s="1"/>
  <c r="M9" i="162"/>
  <c r="E13" i="159"/>
  <c r="S13" i="159"/>
  <c r="E14" i="162"/>
  <c r="S14" i="162"/>
  <c r="C44" i="162"/>
  <c r="E44" i="162" s="1"/>
  <c r="E50" i="162" s="1"/>
  <c r="S16" i="162"/>
  <c r="U16" i="162" s="1"/>
  <c r="I16" i="162"/>
  <c r="G42" i="162"/>
  <c r="I42" i="162" s="1"/>
  <c r="I48" i="162" s="1"/>
  <c r="I9" i="162"/>
  <c r="E7" i="160"/>
  <c r="C39" i="160"/>
  <c r="E39" i="160" s="1"/>
  <c r="E44" i="160" s="1"/>
  <c r="S7" i="160"/>
  <c r="C40" i="160"/>
  <c r="E40" i="160" s="1"/>
  <c r="E45" i="160" s="1"/>
  <c r="Q7" i="156"/>
  <c r="O39" i="156"/>
  <c r="Q39" i="156" s="1"/>
  <c r="Q44" i="156" s="1"/>
  <c r="O40" i="156"/>
  <c r="Q40" i="156" s="1"/>
  <c r="Q45" i="156" s="1"/>
  <c r="K43" i="162"/>
  <c r="M43" i="162" s="1"/>
  <c r="M49" i="162" s="1"/>
  <c r="M12" i="162"/>
  <c r="I14" i="165"/>
  <c r="S14" i="165"/>
  <c r="C14" i="33" s="1"/>
  <c r="S26" i="165"/>
  <c r="C26" i="33" s="1"/>
  <c r="E26" i="33" s="1"/>
  <c r="E26" i="165"/>
  <c r="S18" i="160"/>
  <c r="U18" i="160" s="1"/>
  <c r="E18" i="160"/>
  <c r="E26" i="162"/>
  <c r="S26" i="162"/>
  <c r="U26" i="162" s="1"/>
  <c r="S15" i="165"/>
  <c r="C15" i="33" s="1"/>
  <c r="I15" i="165"/>
  <c r="S24" i="162"/>
  <c r="U24" i="162" s="1"/>
  <c r="E24" i="162"/>
  <c r="G39" i="160"/>
  <c r="I39" i="160" s="1"/>
  <c r="I44" i="160" s="1"/>
  <c r="G40" i="160"/>
  <c r="I40" i="160" s="1"/>
  <c r="I45" i="160" s="1"/>
  <c r="I7" i="160"/>
  <c r="G39" i="156"/>
  <c r="I39" i="156" s="1"/>
  <c r="I44" i="156" s="1"/>
  <c r="G40" i="156"/>
  <c r="I40" i="156" s="1"/>
  <c r="I45" i="156" s="1"/>
  <c r="I7" i="156"/>
  <c r="S18" i="165"/>
  <c r="C18" i="33" s="1"/>
  <c r="E18" i="33" s="1"/>
  <c r="E18" i="165"/>
  <c r="I24" i="156"/>
  <c r="S24" i="159"/>
  <c r="E24" i="159"/>
  <c r="S25" i="162"/>
  <c r="U25" i="162" s="1"/>
  <c r="E25" i="162"/>
  <c r="Q28" i="156"/>
  <c r="E8" i="165"/>
  <c r="S8" i="165"/>
  <c r="C8" i="33" s="1"/>
  <c r="E8" i="33" s="1"/>
  <c r="S13" i="165"/>
  <c r="C13" i="33" s="1"/>
  <c r="S16" i="160"/>
  <c r="U16" i="160" s="1"/>
  <c r="E16" i="160"/>
  <c r="Q14" i="162"/>
  <c r="O44" i="162"/>
  <c r="Q44" i="162" s="1"/>
  <c r="Q50" i="162" s="1"/>
  <c r="O39" i="165"/>
  <c r="Q39" i="165" s="1"/>
  <c r="Q41" i="165" s="1"/>
  <c r="Q7" i="165"/>
  <c r="I14" i="156"/>
  <c r="S23" i="162"/>
  <c r="U23" i="162" s="1"/>
  <c r="E23" i="162"/>
  <c r="M22" i="156"/>
  <c r="K41" i="156"/>
  <c r="M41" i="156" s="1"/>
  <c r="M46" i="156" s="1"/>
  <c r="S9" i="159"/>
  <c r="E9" i="159"/>
  <c r="I12" i="156"/>
  <c r="E13" i="160"/>
  <c r="S13" i="160"/>
  <c r="U13" i="160" s="1"/>
  <c r="S15" i="159"/>
  <c r="I15" i="159"/>
  <c r="C41" i="162"/>
  <c r="E41" i="162" s="1"/>
  <c r="E47" i="162" s="1"/>
  <c r="E7" i="162"/>
  <c r="S7" i="162"/>
  <c r="C40" i="162"/>
  <c r="E40" i="162" s="1"/>
  <c r="E46" i="162" s="1"/>
  <c r="S29" i="160"/>
  <c r="U29" i="160" s="1"/>
  <c r="Q29" i="160"/>
  <c r="S30" i="162"/>
  <c r="U30" i="162" s="1"/>
  <c r="Q30" i="162"/>
  <c r="S24" i="165"/>
  <c r="C24" i="33" s="1"/>
  <c r="E24" i="33" s="1"/>
  <c r="E24" i="165"/>
  <c r="S25" i="159"/>
  <c r="E25" i="159"/>
  <c r="Q22" i="160"/>
  <c r="O41" i="160"/>
  <c r="Q41" i="160" s="1"/>
  <c r="Q46" i="160" s="1"/>
  <c r="I9" i="156"/>
  <c r="E7" i="165"/>
  <c r="S7" i="165"/>
  <c r="C7" i="33" s="1"/>
  <c r="C39" i="165"/>
  <c r="I15" i="162"/>
  <c r="S15" i="162"/>
  <c r="U15" i="162" s="1"/>
  <c r="I22" i="156"/>
  <c r="G41" i="156"/>
  <c r="I41" i="156" s="1"/>
  <c r="I46" i="156" s="1"/>
  <c r="C42" i="162"/>
  <c r="E42" i="162" s="1"/>
  <c r="E48" i="162" s="1"/>
  <c r="E9" i="162"/>
  <c r="S9" i="162"/>
  <c r="E8" i="162"/>
  <c r="S8" i="162"/>
  <c r="U8" i="162" s="1"/>
  <c r="S21" i="162"/>
  <c r="U21" i="162" s="1"/>
  <c r="E21" i="162"/>
  <c r="I20" i="156"/>
  <c r="S22" i="165"/>
  <c r="C22" i="33" s="1"/>
  <c r="E22" i="33" s="1"/>
  <c r="E22" i="165"/>
  <c r="S18" i="159"/>
  <c r="E18" i="159"/>
  <c r="S25" i="160"/>
  <c r="U25" i="160" s="1"/>
  <c r="E25" i="160"/>
  <c r="S11" i="160"/>
  <c r="U11" i="160" s="1"/>
  <c r="E11" i="160"/>
  <c r="S23" i="160"/>
  <c r="U23" i="160" s="1"/>
  <c r="E23" i="160"/>
  <c r="I23" i="156"/>
  <c r="Q22" i="156"/>
  <c r="O41" i="156"/>
  <c r="Q41" i="156" s="1"/>
  <c r="Q46" i="156" s="1"/>
  <c r="S12" i="165"/>
  <c r="C12" i="33" s="1"/>
  <c r="S28" i="165"/>
  <c r="C28" i="33" s="1"/>
  <c r="E28" i="33" s="1"/>
  <c r="Q28" i="165"/>
  <c r="S25" i="165"/>
  <c r="C25" i="33" s="1"/>
  <c r="E25" i="33" s="1"/>
  <c r="E25" i="165"/>
  <c r="S12" i="160"/>
  <c r="U12" i="160" s="1"/>
  <c r="E12" i="160"/>
  <c r="Q28" i="160"/>
  <c r="S28" i="160"/>
  <c r="U28" i="160" s="1"/>
  <c r="Q28" i="159"/>
  <c r="S28" i="159"/>
  <c r="S16" i="159"/>
  <c r="E16" i="159"/>
  <c r="S17" i="162"/>
  <c r="U17" i="162" s="1"/>
  <c r="E17" i="162"/>
  <c r="K40" i="160"/>
  <c r="M40" i="160" s="1"/>
  <c r="M45" i="160" s="1"/>
  <c r="K39" i="160"/>
  <c r="M39" i="160" s="1"/>
  <c r="M44" i="160" s="1"/>
  <c r="M7" i="160"/>
  <c r="K41" i="162"/>
  <c r="M41" i="162" s="1"/>
  <c r="M47" i="162" s="1"/>
  <c r="K40" i="162"/>
  <c r="M40" i="162" s="1"/>
  <c r="M46" i="162" s="1"/>
  <c r="M7" i="162"/>
  <c r="M22" i="159"/>
  <c r="K41" i="159"/>
  <c r="M41" i="159" s="1"/>
  <c r="M46" i="159" s="1"/>
  <c r="I22" i="159"/>
  <c r="G41" i="159"/>
  <c r="I41" i="159" s="1"/>
  <c r="I46" i="159" s="1"/>
  <c r="I22" i="160"/>
  <c r="G41" i="160"/>
  <c r="I41" i="160" s="1"/>
  <c r="I46" i="160" s="1"/>
  <c r="E8" i="159"/>
  <c r="S8" i="159"/>
  <c r="E8" i="160"/>
  <c r="S8" i="160"/>
  <c r="U8" i="160" s="1"/>
  <c r="S20" i="159"/>
  <c r="E20" i="159"/>
  <c r="S10" i="162"/>
  <c r="U10" i="162" s="1"/>
  <c r="E10" i="162"/>
  <c r="S16" i="165"/>
  <c r="C16" i="33" s="1"/>
  <c r="E16" i="33" s="1"/>
  <c r="E16" i="165"/>
  <c r="S11" i="165"/>
  <c r="C11" i="33" s="1"/>
  <c r="E11" i="33" s="1"/>
  <c r="E11" i="165"/>
  <c r="Q9" i="162"/>
  <c r="O42" i="162"/>
  <c r="Q42" i="162" s="1"/>
  <c r="Q48" i="162" s="1"/>
  <c r="I15" i="156"/>
  <c r="S15" i="160"/>
  <c r="I15" i="160"/>
  <c r="I8" i="156"/>
  <c r="Q7" i="162"/>
  <c r="O41" i="162"/>
  <c r="Q41" i="162" s="1"/>
  <c r="Q47" i="162" s="1"/>
  <c r="O40" i="162"/>
  <c r="Q40" i="162" s="1"/>
  <c r="Q46" i="162" s="1"/>
  <c r="Q7" i="160"/>
  <c r="O40" i="160"/>
  <c r="Q40" i="160" s="1"/>
  <c r="Q45" i="160" s="1"/>
  <c r="O39" i="160"/>
  <c r="Q39" i="160" s="1"/>
  <c r="Q44" i="160" s="1"/>
  <c r="I13" i="156"/>
  <c r="G44" i="162"/>
  <c r="I44" i="162" s="1"/>
  <c r="I50" i="162" s="1"/>
  <c r="I14" i="162"/>
  <c r="Q29" i="156"/>
  <c r="G39" i="165"/>
  <c r="I39" i="165" s="1"/>
  <c r="I41" i="165" s="1"/>
  <c r="I7" i="165"/>
  <c r="K44" i="162"/>
  <c r="M44" i="162" s="1"/>
  <c r="M50" i="162" s="1"/>
  <c r="M14" i="162"/>
  <c r="I18" i="156"/>
  <c r="I25" i="156"/>
  <c r="S11" i="159"/>
  <c r="E11" i="159"/>
  <c r="C43" i="162"/>
  <c r="E43" i="162" s="1"/>
  <c r="E49" i="162" s="1"/>
  <c r="S12" i="162"/>
  <c r="E12" i="162"/>
  <c r="S23" i="159"/>
  <c r="E23" i="159"/>
  <c r="Q22" i="159"/>
  <c r="O41" i="159"/>
  <c r="Q41" i="159" s="1"/>
  <c r="Q46" i="159" s="1"/>
  <c r="S29" i="165"/>
  <c r="C29" i="33" s="1"/>
  <c r="E29" i="33" s="1"/>
  <c r="Q29" i="165"/>
  <c r="K39" i="165"/>
  <c r="M39" i="165" s="1"/>
  <c r="M41" i="165" s="1"/>
  <c r="M7" i="165"/>
  <c r="S27" i="165"/>
  <c r="C27" i="33" s="1"/>
  <c r="E27" i="33" s="1"/>
  <c r="Q27" i="165"/>
  <c r="O43" i="162"/>
  <c r="Q43" i="162" s="1"/>
  <c r="Q49" i="162" s="1"/>
  <c r="Q12" i="162"/>
  <c r="E12" i="159"/>
  <c r="S12" i="159"/>
  <c r="E13" i="162"/>
  <c r="S13" i="162"/>
  <c r="U13" i="162" s="1"/>
  <c r="S9" i="165"/>
  <c r="C9" i="33" s="1"/>
  <c r="E9" i="33" s="1"/>
  <c r="E9" i="165"/>
  <c r="K39" i="159"/>
  <c r="M39" i="159" s="1"/>
  <c r="M44" i="159" s="1"/>
  <c r="K40" i="159"/>
  <c r="M40" i="159" s="1"/>
  <c r="M45" i="159" s="1"/>
  <c r="M7" i="159"/>
  <c r="I11" i="156"/>
  <c r="G43" i="162"/>
  <c r="I43" i="162" s="1"/>
  <c r="I49" i="162" s="1"/>
  <c r="I12" i="162"/>
  <c r="Q27" i="160"/>
  <c r="S27" i="160"/>
  <c r="U27" i="160" s="1"/>
  <c r="B21" i="244" l="1"/>
  <c r="E21" i="244"/>
  <c r="E14" i="244"/>
  <c r="G14" i="244" s="1"/>
  <c r="D28" i="244"/>
  <c r="G25" i="243"/>
  <c r="G27" i="243" s="1"/>
  <c r="G22" i="243"/>
  <c r="U15" i="160"/>
  <c r="AA22" i="165"/>
  <c r="AC22" i="165" s="1"/>
  <c r="U22" i="165"/>
  <c r="AA20" i="156"/>
  <c r="AC20" i="156" s="1"/>
  <c r="U20" i="156"/>
  <c r="U24" i="159"/>
  <c r="AA7" i="156"/>
  <c r="S40" i="156"/>
  <c r="S39" i="156"/>
  <c r="U7" i="156"/>
  <c r="U26" i="159"/>
  <c r="AA29" i="165"/>
  <c r="AC29" i="165" s="1"/>
  <c r="U29" i="165"/>
  <c r="U11" i="159"/>
  <c r="AA13" i="156"/>
  <c r="AC13" i="156" s="1"/>
  <c r="U13" i="156"/>
  <c r="AA12" i="165"/>
  <c r="AA7" i="165"/>
  <c r="S39" i="165"/>
  <c r="U7" i="165"/>
  <c r="AA13" i="165"/>
  <c r="AA15" i="165"/>
  <c r="AA26" i="165"/>
  <c r="AC26" i="165" s="1"/>
  <c r="U26" i="165"/>
  <c r="S43" i="162"/>
  <c r="N10" i="175" s="1"/>
  <c r="U12" i="162"/>
  <c r="AA16" i="165"/>
  <c r="AC16" i="165" s="1"/>
  <c r="U16" i="165"/>
  <c r="AA8" i="165"/>
  <c r="AC8" i="165" s="1"/>
  <c r="U8" i="165"/>
  <c r="AA16" i="156"/>
  <c r="AC16" i="156" s="1"/>
  <c r="U16" i="156"/>
  <c r="AA20" i="165"/>
  <c r="AC20" i="165" s="1"/>
  <c r="U20" i="165"/>
  <c r="U12" i="159"/>
  <c r="U23" i="159"/>
  <c r="AA29" i="156"/>
  <c r="AC29" i="156" s="1"/>
  <c r="U29" i="156"/>
  <c r="U8" i="159"/>
  <c r="U28" i="159"/>
  <c r="AA28" i="165"/>
  <c r="AC28" i="165" s="1"/>
  <c r="U28" i="165"/>
  <c r="AA23" i="156"/>
  <c r="AC23" i="156" s="1"/>
  <c r="U23" i="156"/>
  <c r="AA24" i="165"/>
  <c r="AC24" i="165" s="1"/>
  <c r="U24" i="165"/>
  <c r="AA24" i="156"/>
  <c r="AC24" i="156" s="1"/>
  <c r="U24" i="156"/>
  <c r="AA18" i="165"/>
  <c r="AC18" i="165" s="1"/>
  <c r="U18" i="165"/>
  <c r="S40" i="160"/>
  <c r="S39" i="160"/>
  <c r="U7" i="160"/>
  <c r="S44" i="162"/>
  <c r="U14" i="162"/>
  <c r="U13" i="159"/>
  <c r="AA26" i="156"/>
  <c r="AC26" i="156" s="1"/>
  <c r="U26" i="156"/>
  <c r="U22" i="160"/>
  <c r="S41" i="160"/>
  <c r="U41" i="160" s="1"/>
  <c r="U46" i="160" s="1"/>
  <c r="S39" i="159"/>
  <c r="S40" i="159"/>
  <c r="U7" i="159"/>
  <c r="AA18" i="156"/>
  <c r="AC18" i="156" s="1"/>
  <c r="U18" i="156"/>
  <c r="U18" i="159"/>
  <c r="AA28" i="156"/>
  <c r="AC28" i="156" s="1"/>
  <c r="U28" i="156"/>
  <c r="AA8" i="156"/>
  <c r="AC8" i="156" s="1"/>
  <c r="U8" i="156"/>
  <c r="AA15" i="156"/>
  <c r="AC15" i="156" s="1"/>
  <c r="U15" i="156"/>
  <c r="S41" i="162"/>
  <c r="S40" i="162"/>
  <c r="P10" i="175" s="1"/>
  <c r="U7" i="162"/>
  <c r="U9" i="159"/>
  <c r="U27" i="159"/>
  <c r="U29" i="159"/>
  <c r="U14" i="159"/>
  <c r="AA11" i="156"/>
  <c r="AC11" i="156" s="1"/>
  <c r="U11" i="156"/>
  <c r="AA9" i="165"/>
  <c r="AC9" i="165" s="1"/>
  <c r="U9" i="165"/>
  <c r="AA27" i="165"/>
  <c r="AC27" i="165" s="1"/>
  <c r="U27" i="165"/>
  <c r="AA25" i="156"/>
  <c r="AC25" i="156" s="1"/>
  <c r="U25" i="156"/>
  <c r="AA11" i="165"/>
  <c r="AC11" i="165" s="1"/>
  <c r="U11" i="165"/>
  <c r="U20" i="159"/>
  <c r="U16" i="159"/>
  <c r="AA25" i="165"/>
  <c r="AC25" i="165" s="1"/>
  <c r="U25" i="165"/>
  <c r="S42" i="162"/>
  <c r="U9" i="162"/>
  <c r="AA22" i="156"/>
  <c r="U22" i="156"/>
  <c r="S41" i="156"/>
  <c r="AA9" i="156"/>
  <c r="AC9" i="156" s="1"/>
  <c r="U9" i="156"/>
  <c r="U25" i="159"/>
  <c r="U15" i="159"/>
  <c r="AA12" i="156"/>
  <c r="AC12" i="156" s="1"/>
  <c r="U12" i="156"/>
  <c r="AA14" i="156"/>
  <c r="AC14" i="156" s="1"/>
  <c r="U14" i="156"/>
  <c r="AA14" i="165"/>
  <c r="U22" i="159"/>
  <c r="S41" i="159"/>
  <c r="AA27" i="156"/>
  <c r="AC27" i="156" s="1"/>
  <c r="U27" i="156"/>
  <c r="AA23" i="165"/>
  <c r="AC23" i="165" s="1"/>
  <c r="U23" i="165"/>
  <c r="N21" i="175" l="1"/>
  <c r="N9" i="224"/>
  <c r="N20" i="224" s="1"/>
  <c r="P21" i="175"/>
  <c r="P9" i="224"/>
  <c r="U44" i="162"/>
  <c r="U50" i="162" s="1"/>
  <c r="N10" i="199"/>
  <c r="N21" i="199" s="1"/>
  <c r="N24" i="199" s="1"/>
  <c r="N13" i="175"/>
  <c r="M20" i="224"/>
  <c r="L20" i="224"/>
  <c r="C13" i="233"/>
  <c r="E13" i="233"/>
  <c r="B13" i="233"/>
  <c r="D13" i="233"/>
  <c r="F13" i="233"/>
  <c r="K23" i="33"/>
  <c r="M23" i="33" s="1"/>
  <c r="F10" i="175"/>
  <c r="U40" i="162"/>
  <c r="U46" i="162" s="1"/>
  <c r="B9" i="191"/>
  <c r="B19" i="191" s="1"/>
  <c r="U40" i="159"/>
  <c r="U45" i="159" s="1"/>
  <c r="K18" i="33"/>
  <c r="M18" i="33" s="1"/>
  <c r="K20" i="33"/>
  <c r="M20" i="33" s="1"/>
  <c r="K12" i="33"/>
  <c r="B9" i="187"/>
  <c r="B19" i="187" s="1"/>
  <c r="U40" i="156"/>
  <c r="U45" i="156" s="1"/>
  <c r="C9" i="191"/>
  <c r="C19" i="191" s="1"/>
  <c r="U41" i="159"/>
  <c r="U46" i="159" s="1"/>
  <c r="C9" i="187"/>
  <c r="C19" i="187" s="1"/>
  <c r="U41" i="156"/>
  <c r="U46" i="156" s="1"/>
  <c r="K9" i="33"/>
  <c r="M9" i="33" s="1"/>
  <c r="U41" i="162"/>
  <c r="U47" i="162" s="1"/>
  <c r="E9" i="191"/>
  <c r="E19" i="191" s="1"/>
  <c r="U39" i="159"/>
  <c r="U44" i="159" s="1"/>
  <c r="E9" i="190"/>
  <c r="E19" i="190" s="1"/>
  <c r="U39" i="160"/>
  <c r="U44" i="160" s="1"/>
  <c r="K7" i="33"/>
  <c r="M7" i="33" s="1"/>
  <c r="E7" i="33"/>
  <c r="AA39" i="156"/>
  <c r="AA40" i="156"/>
  <c r="AC7" i="156"/>
  <c r="K22" i="33"/>
  <c r="M22" i="33" s="1"/>
  <c r="K14" i="33"/>
  <c r="K25" i="33"/>
  <c r="M25" i="33" s="1"/>
  <c r="K11" i="33"/>
  <c r="M11" i="33" s="1"/>
  <c r="K27" i="33"/>
  <c r="M27" i="33" s="1"/>
  <c r="B9" i="190"/>
  <c r="B19" i="190" s="1"/>
  <c r="U40" i="160"/>
  <c r="U45" i="160" s="1"/>
  <c r="K28" i="33"/>
  <c r="M28" i="33" s="1"/>
  <c r="K8" i="33"/>
  <c r="M8" i="33" s="1"/>
  <c r="K16" i="33"/>
  <c r="M16" i="33" s="1"/>
  <c r="D10" i="175"/>
  <c r="U43" i="162"/>
  <c r="U49" i="162" s="1"/>
  <c r="K26" i="33"/>
  <c r="M26" i="33" s="1"/>
  <c r="K15" i="33"/>
  <c r="K13" i="33"/>
  <c r="AA39" i="165"/>
  <c r="AC7" i="165"/>
  <c r="AC22" i="156"/>
  <c r="AA41" i="156"/>
  <c r="U42" i="162"/>
  <c r="U48" i="162" s="1"/>
  <c r="K24" i="33"/>
  <c r="M24" i="33" s="1"/>
  <c r="E9" i="187"/>
  <c r="E19" i="187" s="1"/>
  <c r="U39" i="156"/>
  <c r="U44" i="156" s="1"/>
  <c r="D21" i="175" l="1"/>
  <c r="D9" i="224"/>
  <c r="D20" i="224" s="1"/>
  <c r="F21" i="175"/>
  <c r="F9" i="224"/>
  <c r="F20" i="224" s="1"/>
  <c r="C19" i="223"/>
  <c r="O20" i="224"/>
  <c r="B19" i="223"/>
  <c r="D19" i="223"/>
  <c r="N27" i="175"/>
  <c r="N29" i="175" s="1"/>
  <c r="N24" i="175"/>
  <c r="N13" i="199"/>
  <c r="C9" i="221"/>
  <c r="C19" i="221" s="1"/>
  <c r="E9" i="221"/>
  <c r="B9" i="221"/>
  <c r="C20" i="224"/>
  <c r="P20" i="224"/>
  <c r="E20" i="224"/>
  <c r="P10" i="199"/>
  <c r="P21" i="199" s="1"/>
  <c r="P24" i="199" s="1"/>
  <c r="P13" i="175"/>
  <c r="E13" i="234"/>
  <c r="P13" i="233"/>
  <c r="O13" i="233"/>
  <c r="D27" i="233"/>
  <c r="D29" i="233" s="1"/>
  <c r="D24" i="233"/>
  <c r="E27" i="233"/>
  <c r="E29" i="233" s="1"/>
  <c r="E24" i="233"/>
  <c r="L13" i="233"/>
  <c r="M13" i="233"/>
  <c r="N13" i="233"/>
  <c r="F27" i="233"/>
  <c r="F29" i="233" s="1"/>
  <c r="F24" i="233"/>
  <c r="B27" i="233"/>
  <c r="B29" i="233" s="1"/>
  <c r="B24" i="233"/>
  <c r="C27" i="233"/>
  <c r="C29" i="233" s="1"/>
  <c r="C24" i="233"/>
  <c r="E9" i="194"/>
  <c r="E19" i="194" s="1"/>
  <c r="E12" i="187"/>
  <c r="B9" i="42"/>
  <c r="B20" i="42" s="1"/>
  <c r="E9" i="192"/>
  <c r="E19" i="192" s="1"/>
  <c r="E12" i="191"/>
  <c r="C9" i="194"/>
  <c r="C19" i="194" s="1"/>
  <c r="C12" i="187"/>
  <c r="K9" i="187"/>
  <c r="K19" i="187" s="1"/>
  <c r="AC41" i="156"/>
  <c r="AC46" i="156" s="1"/>
  <c r="D10" i="199"/>
  <c r="D21" i="199" s="1"/>
  <c r="D24" i="199" s="1"/>
  <c r="D13" i="175"/>
  <c r="J9" i="187"/>
  <c r="J19" i="187" s="1"/>
  <c r="AC40" i="156"/>
  <c r="AC45" i="156" s="1"/>
  <c r="E9" i="189"/>
  <c r="E19" i="189" s="1"/>
  <c r="E12" i="190"/>
  <c r="B9" i="189"/>
  <c r="B19" i="189" s="1"/>
  <c r="B12" i="190"/>
  <c r="M9" i="187"/>
  <c r="M19" i="187" s="1"/>
  <c r="AC39" i="156"/>
  <c r="AC44" i="156" s="1"/>
  <c r="C9" i="192"/>
  <c r="C19" i="192" s="1"/>
  <c r="C12" i="191"/>
  <c r="B9" i="194"/>
  <c r="B19" i="194" s="1"/>
  <c r="B12" i="187"/>
  <c r="B9" i="192"/>
  <c r="B19" i="192" s="1"/>
  <c r="B12" i="191"/>
  <c r="F10" i="199"/>
  <c r="F21" i="199" s="1"/>
  <c r="F24" i="199" s="1"/>
  <c r="F13" i="175"/>
  <c r="E19" i="221" l="1"/>
  <c r="C9" i="242"/>
  <c r="B19" i="221"/>
  <c r="B20" i="224"/>
  <c r="I19" i="223"/>
  <c r="J19" i="223"/>
  <c r="H19" i="223"/>
  <c r="N27" i="199"/>
  <c r="N29" i="199" s="1"/>
  <c r="P27" i="175"/>
  <c r="P29" i="175" s="1"/>
  <c r="P24" i="175"/>
  <c r="P13" i="199"/>
  <c r="C13" i="234"/>
  <c r="B13" i="234"/>
  <c r="F13" i="234"/>
  <c r="D13" i="234"/>
  <c r="N27" i="233"/>
  <c r="N29" i="233" s="1"/>
  <c r="N24" i="233"/>
  <c r="D27" i="234"/>
  <c r="D29" i="234" s="1"/>
  <c r="D24" i="234"/>
  <c r="M27" i="233"/>
  <c r="M29" i="233" s="1"/>
  <c r="M24" i="233"/>
  <c r="F27" i="234"/>
  <c r="F29" i="234" s="1"/>
  <c r="F24" i="234"/>
  <c r="P27" i="233"/>
  <c r="P29" i="233" s="1"/>
  <c r="P24" i="233"/>
  <c r="O13" i="234"/>
  <c r="B27" i="234"/>
  <c r="B29" i="234" s="1"/>
  <c r="B24" i="234"/>
  <c r="C27" i="234"/>
  <c r="C29" i="234" s="1"/>
  <c r="C24" i="234"/>
  <c r="L27" i="233"/>
  <c r="L29" i="233" s="1"/>
  <c r="L24" i="233"/>
  <c r="O27" i="233"/>
  <c r="O29" i="233" s="1"/>
  <c r="O24" i="233"/>
  <c r="E27" i="234"/>
  <c r="E29" i="234" s="1"/>
  <c r="E24" i="234"/>
  <c r="F24" i="175"/>
  <c r="F27" i="175"/>
  <c r="F29" i="175" s="1"/>
  <c r="D24" i="175"/>
  <c r="D27" i="175"/>
  <c r="D29" i="175" s="1"/>
  <c r="C22" i="191"/>
  <c r="C25" i="191"/>
  <c r="C27" i="191" s="1"/>
  <c r="B22" i="191"/>
  <c r="B25" i="191"/>
  <c r="B27" i="191" s="1"/>
  <c r="B22" i="187"/>
  <c r="B25" i="187"/>
  <c r="B27" i="187" s="1"/>
  <c r="E22" i="190"/>
  <c r="E25" i="190"/>
  <c r="E27" i="190" s="1"/>
  <c r="E22" i="191"/>
  <c r="E25" i="191"/>
  <c r="E27" i="191" s="1"/>
  <c r="B22" i="190"/>
  <c r="B25" i="190"/>
  <c r="B27" i="190" s="1"/>
  <c r="C22" i="187"/>
  <c r="C25" i="187"/>
  <c r="C27" i="187" s="1"/>
  <c r="E22" i="187"/>
  <c r="E25" i="187"/>
  <c r="E27" i="187" s="1"/>
  <c r="B12" i="192"/>
  <c r="B12" i="194"/>
  <c r="D13" i="199"/>
  <c r="B9" i="225"/>
  <c r="B12" i="224"/>
  <c r="B9" i="196"/>
  <c r="E9" i="222"/>
  <c r="E12" i="221"/>
  <c r="C9" i="225"/>
  <c r="C12" i="224"/>
  <c r="B9" i="222"/>
  <c r="B12" i="221"/>
  <c r="C12" i="194"/>
  <c r="B12" i="189"/>
  <c r="E12" i="189"/>
  <c r="K9" i="194"/>
  <c r="K19" i="194" s="1"/>
  <c r="K12" i="187"/>
  <c r="D9" i="225"/>
  <c r="D12" i="224"/>
  <c r="F13" i="199"/>
  <c r="F9" i="225"/>
  <c r="F12" i="224"/>
  <c r="E9" i="225"/>
  <c r="E12" i="224"/>
  <c r="C12" i="192"/>
  <c r="C9" i="220"/>
  <c r="C12" i="223"/>
  <c r="M9" i="194"/>
  <c r="M19" i="194" s="1"/>
  <c r="M12" i="187"/>
  <c r="D9" i="220"/>
  <c r="D12" i="223"/>
  <c r="J9" i="194"/>
  <c r="J19" i="194" s="1"/>
  <c r="J12" i="187"/>
  <c r="E12" i="192"/>
  <c r="C9" i="222"/>
  <c r="C12" i="221"/>
  <c r="E12" i="194"/>
  <c r="B9" i="220"/>
  <c r="B12" i="223"/>
  <c r="E20" i="225" l="1"/>
  <c r="B19" i="222"/>
  <c r="B19" i="220"/>
  <c r="D19" i="220"/>
  <c r="B20" i="196"/>
  <c r="F20" i="225"/>
  <c r="C20" i="225"/>
  <c r="C19" i="222"/>
  <c r="E19" i="222"/>
  <c r="C19" i="220"/>
  <c r="D20" i="225"/>
  <c r="B20" i="225"/>
  <c r="C19" i="242"/>
  <c r="C9" i="243"/>
  <c r="I9" i="242"/>
  <c r="C12" i="242"/>
  <c r="P27" i="199"/>
  <c r="P29" i="199" s="1"/>
  <c r="N13" i="234"/>
  <c r="P13" i="234"/>
  <c r="L13" i="234"/>
  <c r="M13" i="234"/>
  <c r="N27" i="234"/>
  <c r="N29" i="234" s="1"/>
  <c r="N24" i="234"/>
  <c r="M27" i="234"/>
  <c r="M29" i="234" s="1"/>
  <c r="M24" i="234"/>
  <c r="P27" i="234"/>
  <c r="P29" i="234" s="1"/>
  <c r="P24" i="234"/>
  <c r="L27" i="234"/>
  <c r="L29" i="234" s="1"/>
  <c r="L24" i="234"/>
  <c r="O27" i="234"/>
  <c r="O29" i="234" s="1"/>
  <c r="O24" i="234"/>
  <c r="E22" i="194"/>
  <c r="E25" i="194"/>
  <c r="E27" i="194" s="1"/>
  <c r="E22" i="192"/>
  <c r="E25" i="192"/>
  <c r="E27" i="192" s="1"/>
  <c r="C22" i="223"/>
  <c r="C25" i="223"/>
  <c r="C27" i="223" s="1"/>
  <c r="C22" i="192"/>
  <c r="C25" i="192"/>
  <c r="C27" i="192" s="1"/>
  <c r="F27" i="199"/>
  <c r="F29" i="199" s="1"/>
  <c r="K22" i="187"/>
  <c r="K25" i="187"/>
  <c r="K27" i="187" s="1"/>
  <c r="B22" i="189"/>
  <c r="B25" i="189"/>
  <c r="B27" i="189" s="1"/>
  <c r="E22" i="221"/>
  <c r="E25" i="221"/>
  <c r="E27" i="221" s="1"/>
  <c r="D27" i="199"/>
  <c r="D29" i="199" s="1"/>
  <c r="C22" i="221"/>
  <c r="C25" i="221"/>
  <c r="C27" i="221" s="1"/>
  <c r="E22" i="189"/>
  <c r="E25" i="189"/>
  <c r="E27" i="189" s="1"/>
  <c r="B25" i="221"/>
  <c r="B22" i="194"/>
  <c r="B25" i="194"/>
  <c r="B27" i="194" s="1"/>
  <c r="B22" i="223"/>
  <c r="B25" i="223"/>
  <c r="B27" i="223" s="1"/>
  <c r="D22" i="223"/>
  <c r="D25" i="223"/>
  <c r="D27" i="223" s="1"/>
  <c r="M22" i="187"/>
  <c r="M25" i="187"/>
  <c r="M27" i="187" s="1"/>
  <c r="B26" i="42"/>
  <c r="J22" i="187"/>
  <c r="J25" i="187"/>
  <c r="J27" i="187" s="1"/>
  <c r="C22" i="194"/>
  <c r="C25" i="194"/>
  <c r="C27" i="194" s="1"/>
  <c r="B22" i="192"/>
  <c r="B25" i="192"/>
  <c r="B27" i="192" s="1"/>
  <c r="F23" i="224"/>
  <c r="F26" i="224"/>
  <c r="F28" i="224" s="1"/>
  <c r="C23" i="224"/>
  <c r="C26" i="224"/>
  <c r="C28" i="224" s="1"/>
  <c r="D23" i="224"/>
  <c r="D26" i="224"/>
  <c r="D28" i="224" s="1"/>
  <c r="B23" i="224"/>
  <c r="B26" i="224"/>
  <c r="B28" i="224" s="1"/>
  <c r="E23" i="224"/>
  <c r="E26" i="224"/>
  <c r="E28" i="224" s="1"/>
  <c r="J12" i="194"/>
  <c r="C12" i="220"/>
  <c r="N9" i="225"/>
  <c r="N12" i="224"/>
  <c r="C12" i="222"/>
  <c r="D12" i="220"/>
  <c r="F12" i="225"/>
  <c r="O9" i="225"/>
  <c r="O12" i="224"/>
  <c r="L9" i="225"/>
  <c r="L12" i="224"/>
  <c r="B12" i="225"/>
  <c r="K12" i="194"/>
  <c r="C12" i="225"/>
  <c r="H9" i="220"/>
  <c r="H12" i="223"/>
  <c r="I9" i="220"/>
  <c r="I12" i="223"/>
  <c r="D12" i="225"/>
  <c r="M9" i="225"/>
  <c r="M12" i="224"/>
  <c r="B12" i="220"/>
  <c r="M12" i="194"/>
  <c r="E12" i="225"/>
  <c r="P9" i="225"/>
  <c r="P12" i="224"/>
  <c r="B12" i="222"/>
  <c r="J9" i="220"/>
  <c r="J12" i="223"/>
  <c r="E12" i="222"/>
  <c r="H19" i="220" l="1"/>
  <c r="N20" i="225"/>
  <c r="L20" i="225"/>
  <c r="P20" i="225"/>
  <c r="I19" i="220"/>
  <c r="J19" i="220"/>
  <c r="M20" i="225"/>
  <c r="O20" i="225"/>
  <c r="I19" i="242"/>
  <c r="I9" i="243"/>
  <c r="I12" i="242"/>
  <c r="C19" i="243"/>
  <c r="C12" i="243"/>
  <c r="C25" i="242"/>
  <c r="C27" i="242" s="1"/>
  <c r="C22" i="242"/>
  <c r="E22" i="222"/>
  <c r="E25" i="222"/>
  <c r="E27" i="222" s="1"/>
  <c r="M22" i="194"/>
  <c r="M25" i="194"/>
  <c r="M27" i="194" s="1"/>
  <c r="B26" i="196"/>
  <c r="K22" i="194"/>
  <c r="K25" i="194"/>
  <c r="K27" i="194" s="1"/>
  <c r="D22" i="220"/>
  <c r="D25" i="220"/>
  <c r="D27" i="220" s="1"/>
  <c r="C22" i="222"/>
  <c r="C25" i="222"/>
  <c r="C27" i="222" s="1"/>
  <c r="B22" i="222"/>
  <c r="B25" i="222"/>
  <c r="B27" i="222" s="1"/>
  <c r="H22" i="223"/>
  <c r="H25" i="223"/>
  <c r="H27" i="223" s="1"/>
  <c r="C22" i="220"/>
  <c r="C25" i="220"/>
  <c r="C27" i="220" s="1"/>
  <c r="B22" i="220"/>
  <c r="B25" i="220"/>
  <c r="B27" i="220" s="1"/>
  <c r="J22" i="223"/>
  <c r="J25" i="223"/>
  <c r="J27" i="223" s="1"/>
  <c r="I22" i="223"/>
  <c r="I25" i="223"/>
  <c r="I27" i="223" s="1"/>
  <c r="J22" i="194"/>
  <c r="J25" i="194"/>
  <c r="J27" i="194" s="1"/>
  <c r="D23" i="225"/>
  <c r="D26" i="225"/>
  <c r="D28" i="225" s="1"/>
  <c r="E23" i="225"/>
  <c r="E26" i="225"/>
  <c r="E28" i="225" s="1"/>
  <c r="C23" i="225"/>
  <c r="C26" i="225"/>
  <c r="C28" i="225" s="1"/>
  <c r="B23" i="225"/>
  <c r="B26" i="225"/>
  <c r="B28" i="225" s="1"/>
  <c r="F23" i="225"/>
  <c r="F26" i="225"/>
  <c r="F28" i="225" s="1"/>
  <c r="P23" i="224"/>
  <c r="P26" i="224"/>
  <c r="P28" i="224" s="1"/>
  <c r="N23" i="224"/>
  <c r="N26" i="224"/>
  <c r="N28" i="224" s="1"/>
  <c r="L23" i="224"/>
  <c r="L26" i="224"/>
  <c r="L28" i="224" s="1"/>
  <c r="O23" i="224"/>
  <c r="O26" i="224"/>
  <c r="O28" i="224" s="1"/>
  <c r="M23" i="224"/>
  <c r="M26" i="224"/>
  <c r="M28" i="224" s="1"/>
  <c r="P12" i="225"/>
  <c r="L12" i="225"/>
  <c r="N12" i="225"/>
  <c r="M12" i="225"/>
  <c r="I12" i="220"/>
  <c r="H12" i="220"/>
  <c r="O12" i="225"/>
  <c r="J12" i="220"/>
  <c r="I19" i="243" l="1"/>
  <c r="I12" i="243"/>
  <c r="C25" i="243"/>
  <c r="C27" i="243" s="1"/>
  <c r="C22" i="243"/>
  <c r="I25" i="242"/>
  <c r="I27" i="242" s="1"/>
  <c r="I22" i="242"/>
  <c r="I22" i="220"/>
  <c r="I25" i="220"/>
  <c r="I27" i="220" s="1"/>
  <c r="H22" i="220"/>
  <c r="H25" i="220"/>
  <c r="H27" i="220" s="1"/>
  <c r="J22" i="220"/>
  <c r="J25" i="220"/>
  <c r="J27" i="220" s="1"/>
  <c r="M23" i="225"/>
  <c r="M26" i="225"/>
  <c r="M28" i="225" s="1"/>
  <c r="N23" i="225"/>
  <c r="N26" i="225"/>
  <c r="N28" i="225" s="1"/>
  <c r="P23" i="225"/>
  <c r="P26" i="225"/>
  <c r="P28" i="225" s="1"/>
  <c r="O23" i="225"/>
  <c r="O26" i="225"/>
  <c r="O28" i="225" s="1"/>
  <c r="L23" i="225"/>
  <c r="L26" i="225"/>
  <c r="L28" i="225" s="1"/>
  <c r="I25" i="243" l="1"/>
  <c r="I27" i="243" s="1"/>
  <c r="I22" i="243"/>
  <c r="B32" i="217"/>
  <c r="B15" i="165" l="1"/>
  <c r="E15" i="165" s="1"/>
  <c r="E15" i="164"/>
  <c r="E14" i="164"/>
  <c r="B14" i="165"/>
  <c r="E14" i="165" s="1"/>
  <c r="E13" i="164"/>
  <c r="B13" i="165"/>
  <c r="E13" i="165" s="1"/>
  <c r="E12" i="164"/>
  <c r="B12" i="165"/>
  <c r="R12" i="165" s="1"/>
  <c r="Z12" i="165" l="1"/>
  <c r="B12" i="33"/>
  <c r="E12" i="33" s="1"/>
  <c r="R15" i="165"/>
  <c r="R14" i="165"/>
  <c r="B14" i="33" s="1"/>
  <c r="E14" i="33" s="1"/>
  <c r="R13" i="165"/>
  <c r="U12" i="165"/>
  <c r="E12" i="165"/>
  <c r="B39" i="165"/>
  <c r="E39" i="165" s="1"/>
  <c r="E41" i="165" s="1"/>
  <c r="AC12" i="165" l="1"/>
  <c r="U13" i="165"/>
  <c r="B13" i="33"/>
  <c r="E13" i="33" s="1"/>
  <c r="U15" i="165"/>
  <c r="B15" i="33"/>
  <c r="E15" i="33" s="1"/>
  <c r="Z13" i="165"/>
  <c r="AC13" i="165" s="1"/>
  <c r="Z15" i="165"/>
  <c r="R39" i="165"/>
  <c r="U39" i="165" s="1"/>
  <c r="U41" i="165" s="1"/>
  <c r="U14" i="165"/>
  <c r="Z14" i="165"/>
  <c r="AC14" i="165" s="1"/>
  <c r="B7" i="244" l="1"/>
  <c r="Z39" i="165"/>
  <c r="AC39" i="165" s="1"/>
  <c r="AC41" i="165" s="1"/>
  <c r="J13" i="33"/>
  <c r="M13" i="33" s="1"/>
  <c r="AC15" i="165"/>
  <c r="J12" i="33"/>
  <c r="M12" i="33" s="1"/>
  <c r="J14" i="33"/>
  <c r="M14" i="33" s="1"/>
  <c r="J15" i="33"/>
  <c r="M15" i="33" s="1"/>
  <c r="B8" i="42" l="1"/>
  <c r="B19" i="42" s="1"/>
  <c r="B12" i="42" l="1"/>
  <c r="B8" i="196"/>
  <c r="B23" i="42"/>
  <c r="B25" i="42"/>
  <c r="B28" i="42" s="1"/>
  <c r="B19" i="196" l="1"/>
  <c r="B25" i="196" s="1"/>
  <c r="B28" i="196" s="1"/>
  <c r="B12" i="196"/>
  <c r="B23" i="196" l="1"/>
  <c r="Y11" i="236"/>
  <c r="Y21" i="236"/>
  <c r="Y7" i="236"/>
  <c r="Y25" i="236"/>
  <c r="Y23" i="236"/>
  <c r="Y9" i="236"/>
  <c r="Y33" i="236"/>
  <c r="Y35" i="236"/>
  <c r="Y29" i="236"/>
  <c r="Y28" i="236"/>
  <c r="Y26" i="236"/>
  <c r="Y10" i="236"/>
  <c r="Y34" i="236"/>
  <c r="Y17" i="236"/>
  <c r="Y19" i="236"/>
  <c r="Y16" i="236"/>
  <c r="Y12" i="236"/>
  <c r="Y15" i="236"/>
  <c r="Y8" i="236"/>
  <c r="Y24" i="236"/>
  <c r="Y14" i="236"/>
  <c r="Y36" i="236"/>
  <c r="Y30" i="236"/>
  <c r="Y32" i="236"/>
  <c r="Y22" i="236"/>
  <c r="Y27" i="236"/>
  <c r="Y18" i="236"/>
  <c r="Y37" i="236"/>
  <c r="Y31" i="236"/>
  <c r="Y20" i="236"/>
  <c r="Y13" i="236"/>
  <c r="G19" i="41" l="1"/>
  <c r="AA20" i="159"/>
  <c r="Y20" i="79"/>
  <c r="G36" i="41"/>
  <c r="AA37" i="159"/>
  <c r="Y37" i="79"/>
  <c r="Y27" i="79"/>
  <c r="G26" i="41"/>
  <c r="AA27" i="159"/>
  <c r="AA32" i="159"/>
  <c r="G31" i="41"/>
  <c r="Y32" i="79"/>
  <c r="Y36" i="79"/>
  <c r="AA36" i="159"/>
  <c r="G35" i="41"/>
  <c r="AA24" i="159"/>
  <c r="Y24" i="79"/>
  <c r="G23" i="41"/>
  <c r="G15" i="41"/>
  <c r="AA16" i="159"/>
  <c r="Y16" i="79"/>
  <c r="AA17" i="159"/>
  <c r="G16" i="41"/>
  <c r="Y17" i="79"/>
  <c r="AA10" i="159"/>
  <c r="G9" i="41"/>
  <c r="Y10" i="79"/>
  <c r="AA28" i="159"/>
  <c r="Y28" i="79"/>
  <c r="G27" i="41"/>
  <c r="G34" i="41"/>
  <c r="AA35" i="159"/>
  <c r="Y35" i="79"/>
  <c r="Y9" i="79"/>
  <c r="AA9" i="159"/>
  <c r="G8" i="41"/>
  <c r="Y21" i="79"/>
  <c r="G20" i="41"/>
  <c r="AA21" i="159"/>
  <c r="G14" i="41"/>
  <c r="AA15" i="159"/>
  <c r="Y15" i="79"/>
  <c r="G24" i="41"/>
  <c r="Y25" i="79"/>
  <c r="AA25" i="159"/>
  <c r="G12" i="41"/>
  <c r="AA13" i="159"/>
  <c r="Y13" i="79"/>
  <c r="AA31" i="159"/>
  <c r="Y31" i="79"/>
  <c r="G30" i="41"/>
  <c r="AA18" i="159"/>
  <c r="G17" i="41"/>
  <c r="I17" i="41" s="1"/>
  <c r="Y18" i="79"/>
  <c r="Y12" i="79"/>
  <c r="AA12" i="159"/>
  <c r="G11" i="41"/>
  <c r="G18" i="41"/>
  <c r="AA19" i="159"/>
  <c r="Y19" i="79"/>
  <c r="AA26" i="159"/>
  <c r="G25" i="41"/>
  <c r="Y26" i="79"/>
  <c r="G28" i="41"/>
  <c r="AA29" i="159"/>
  <c r="Y29" i="79"/>
  <c r="AA7" i="159"/>
  <c r="G6" i="41"/>
  <c r="Y7" i="79"/>
  <c r="AA22" i="159"/>
  <c r="Y22" i="79"/>
  <c r="G21" i="41"/>
  <c r="Y30" i="79"/>
  <c r="G29" i="41"/>
  <c r="AA30" i="159"/>
  <c r="G13" i="41"/>
  <c r="AA14" i="159"/>
  <c r="Y14" i="79"/>
  <c r="AA8" i="159"/>
  <c r="G7" i="41"/>
  <c r="Y8" i="79"/>
  <c r="Y34" i="79"/>
  <c r="AA34" i="159"/>
  <c r="G33" i="41"/>
  <c r="G32" i="41"/>
  <c r="AA33" i="159"/>
  <c r="Y33" i="79"/>
  <c r="AA23" i="159"/>
  <c r="G22" i="41"/>
  <c r="Y23" i="79"/>
  <c r="Y11" i="79"/>
  <c r="G10" i="41"/>
  <c r="AA11" i="159"/>
  <c r="AC11" i="159" l="1"/>
  <c r="AE11" i="159"/>
  <c r="AG11" i="159" s="1"/>
  <c r="I32" i="41"/>
  <c r="K32" i="41"/>
  <c r="M32" i="41" s="1"/>
  <c r="K11" i="41"/>
  <c r="M11" i="41" s="1"/>
  <c r="I11" i="41"/>
  <c r="AC25" i="159"/>
  <c r="AE25" i="159"/>
  <c r="AG25" i="159" s="1"/>
  <c r="K10" i="41"/>
  <c r="M10" i="41" s="1"/>
  <c r="I10" i="41"/>
  <c r="AC23" i="159"/>
  <c r="AE23" i="159"/>
  <c r="AG23" i="159" s="1"/>
  <c r="I33" i="41"/>
  <c r="K33" i="41"/>
  <c r="M33" i="41" s="1"/>
  <c r="K7" i="41"/>
  <c r="M7" i="41" s="1"/>
  <c r="I7" i="41"/>
  <c r="I13" i="41"/>
  <c r="K13" i="41"/>
  <c r="M13" i="41" s="1"/>
  <c r="I21" i="41"/>
  <c r="K21" i="41"/>
  <c r="M21" i="41" s="1"/>
  <c r="G39" i="41"/>
  <c r="I39" i="41" s="1"/>
  <c r="I44" i="41" s="1"/>
  <c r="I6" i="41"/>
  <c r="K6" i="41"/>
  <c r="G38" i="41"/>
  <c r="K28" i="41"/>
  <c r="M28" i="41" s="1"/>
  <c r="I28" i="41"/>
  <c r="AC12" i="159"/>
  <c r="AE12" i="159"/>
  <c r="AG12" i="159" s="1"/>
  <c r="AC18" i="159"/>
  <c r="AE18" i="159"/>
  <c r="AG18" i="159" s="1"/>
  <c r="K14" i="41"/>
  <c r="M14" i="41" s="1"/>
  <c r="I14" i="41"/>
  <c r="K8" i="41"/>
  <c r="M8" i="41" s="1"/>
  <c r="I8" i="41"/>
  <c r="AC35" i="159"/>
  <c r="AE35" i="159"/>
  <c r="AA42" i="159"/>
  <c r="AC28" i="159"/>
  <c r="AE28" i="159"/>
  <c r="AG28" i="159" s="1"/>
  <c r="AC16" i="159"/>
  <c r="AE16" i="159"/>
  <c r="AG16" i="159" s="1"/>
  <c r="AC24" i="159"/>
  <c r="AE24" i="159"/>
  <c r="AG24" i="159" s="1"/>
  <c r="K26" i="41"/>
  <c r="M26" i="41" s="1"/>
  <c r="I26" i="41"/>
  <c r="K36" i="41"/>
  <c r="M36" i="41" s="1"/>
  <c r="I36" i="41"/>
  <c r="AC33" i="159"/>
  <c r="AE33" i="159"/>
  <c r="AG33" i="159" s="1"/>
  <c r="I29" i="41"/>
  <c r="K29" i="41"/>
  <c r="M29" i="41" s="1"/>
  <c r="I22" i="41"/>
  <c r="K22" i="41"/>
  <c r="M22" i="41" s="1"/>
  <c r="AC14" i="159"/>
  <c r="AE14" i="159"/>
  <c r="AG14" i="159" s="1"/>
  <c r="AC29" i="159"/>
  <c r="AE29" i="159"/>
  <c r="AG29" i="159" s="1"/>
  <c r="AC26" i="159"/>
  <c r="AE26" i="159"/>
  <c r="AG26" i="159" s="1"/>
  <c r="AC31" i="159"/>
  <c r="AE31" i="159"/>
  <c r="AG31" i="159" s="1"/>
  <c r="AE34" i="159"/>
  <c r="AG34" i="159" s="1"/>
  <c r="AC34" i="159"/>
  <c r="AC8" i="159"/>
  <c r="AE8" i="159"/>
  <c r="AG8" i="159" s="1"/>
  <c r="AC30" i="159"/>
  <c r="AE30" i="159"/>
  <c r="AG30" i="159" s="1"/>
  <c r="AA40" i="159"/>
  <c r="AC7" i="159"/>
  <c r="AA39" i="159"/>
  <c r="AE7" i="159"/>
  <c r="AC19" i="159"/>
  <c r="AE19" i="159"/>
  <c r="AG19" i="159" s="1"/>
  <c r="K30" i="41"/>
  <c r="M30" i="41" s="1"/>
  <c r="I30" i="41"/>
  <c r="AC13" i="159"/>
  <c r="AE13" i="159"/>
  <c r="AG13" i="159" s="1"/>
  <c r="K24" i="41"/>
  <c r="I24" i="41"/>
  <c r="AC21" i="159"/>
  <c r="AA41" i="159"/>
  <c r="AE21" i="159"/>
  <c r="AC9" i="159"/>
  <c r="AE9" i="159"/>
  <c r="AG9" i="159" s="1"/>
  <c r="K34" i="41"/>
  <c r="G41" i="41"/>
  <c r="I34" i="41"/>
  <c r="K16" i="41"/>
  <c r="M16" i="41" s="1"/>
  <c r="I16" i="41"/>
  <c r="I15" i="41"/>
  <c r="K15" i="41"/>
  <c r="M15" i="41" s="1"/>
  <c r="I35" i="41"/>
  <c r="K35" i="41"/>
  <c r="M35" i="41" s="1"/>
  <c r="I31" i="41"/>
  <c r="K31" i="41"/>
  <c r="M31" i="41" s="1"/>
  <c r="AC22" i="159"/>
  <c r="AE22" i="159"/>
  <c r="AG22" i="159" s="1"/>
  <c r="I25" i="41"/>
  <c r="K25" i="41"/>
  <c r="M25" i="41" s="1"/>
  <c r="I18" i="41"/>
  <c r="K18" i="41"/>
  <c r="M18" i="41" s="1"/>
  <c r="K12" i="41"/>
  <c r="M12" i="41" s="1"/>
  <c r="I12" i="41"/>
  <c r="K20" i="41"/>
  <c r="I20" i="41"/>
  <c r="G40" i="41"/>
  <c r="I27" i="41"/>
  <c r="K27" i="41"/>
  <c r="M27" i="41" s="1"/>
  <c r="I9" i="41"/>
  <c r="K9" i="41"/>
  <c r="M9" i="41" s="1"/>
  <c r="AC17" i="159"/>
  <c r="AE17" i="159"/>
  <c r="AG17" i="159" s="1"/>
  <c r="I23" i="41"/>
  <c r="K23" i="41"/>
  <c r="M23" i="41" s="1"/>
  <c r="AE36" i="159"/>
  <c r="AG36" i="159" s="1"/>
  <c r="AC36" i="159"/>
  <c r="AC32" i="159"/>
  <c r="AE32" i="159"/>
  <c r="AG32" i="159" s="1"/>
  <c r="AC20" i="159"/>
  <c r="AE20" i="159"/>
  <c r="AG20" i="159" s="1"/>
  <c r="AC15" i="159"/>
  <c r="AE15" i="159"/>
  <c r="AG15" i="159" s="1"/>
  <c r="AC10" i="159"/>
  <c r="AE10" i="159"/>
  <c r="AG10" i="159" s="1"/>
  <c r="AC27" i="159"/>
  <c r="AE27" i="159"/>
  <c r="AG27" i="159" s="1"/>
  <c r="AE37" i="159"/>
  <c r="AG37" i="159" s="1"/>
  <c r="AC37" i="159"/>
  <c r="K19" i="41"/>
  <c r="M19" i="41" s="1"/>
  <c r="I19" i="41"/>
  <c r="M24" i="41" l="1"/>
  <c r="I40" i="41"/>
  <c r="I45" i="41" s="1"/>
  <c r="I41" i="41"/>
  <c r="I46" i="41" s="1"/>
  <c r="AG21" i="159"/>
  <c r="AE41" i="159"/>
  <c r="AC39" i="159"/>
  <c r="AC44" i="159" s="1"/>
  <c r="K41" i="41"/>
  <c r="M34" i="41"/>
  <c r="AC41" i="159"/>
  <c r="AC46" i="159" s="1"/>
  <c r="K39" i="41"/>
  <c r="M39" i="41" s="1"/>
  <c r="M44" i="41" s="1"/>
  <c r="M6" i="41"/>
  <c r="K38" i="41"/>
  <c r="M20" i="41"/>
  <c r="K40" i="41"/>
  <c r="AC42" i="159"/>
  <c r="AC47" i="159" s="1"/>
  <c r="AG7" i="159"/>
  <c r="AE39" i="159"/>
  <c r="AE40" i="159"/>
  <c r="AC40" i="159"/>
  <c r="AC45" i="159" s="1"/>
  <c r="AE42" i="159"/>
  <c r="AG35" i="159"/>
  <c r="I38" i="41"/>
  <c r="I43" i="41" s="1"/>
  <c r="Q9" i="191" l="1"/>
  <c r="Q19" i="191" s="1"/>
  <c r="AG39" i="159"/>
  <c r="AG44" i="159" s="1"/>
  <c r="AG42" i="159"/>
  <c r="AG47" i="159" s="1"/>
  <c r="K9" i="193"/>
  <c r="K19" i="193" s="1"/>
  <c r="M40" i="41"/>
  <c r="M45" i="41" s="1"/>
  <c r="H9" i="184"/>
  <c r="H19" i="184" s="1"/>
  <c r="M9" i="193"/>
  <c r="M19" i="193" s="1"/>
  <c r="M38" i="41"/>
  <c r="M43" i="41" s="1"/>
  <c r="M41" i="41"/>
  <c r="M46" i="41" s="1"/>
  <c r="AG41" i="159"/>
  <c r="AG46" i="159" s="1"/>
  <c r="O9" i="191"/>
  <c r="O19" i="191" s="1"/>
  <c r="I9" i="184"/>
  <c r="I19" i="184" s="1"/>
  <c r="N9" i="191"/>
  <c r="N19" i="191" s="1"/>
  <c r="AG40" i="159"/>
  <c r="AG45" i="159" s="1"/>
  <c r="G9" i="184"/>
  <c r="G19" i="184" s="1"/>
  <c r="G12" i="184" l="1"/>
  <c r="H12" i="184"/>
  <c r="I12" i="184"/>
  <c r="L9" i="184"/>
  <c r="L19" i="184" s="1"/>
  <c r="M9" i="184"/>
  <c r="M19" i="184" s="1"/>
  <c r="M12" i="193"/>
  <c r="N9" i="192"/>
  <c r="N19" i="192" s="1"/>
  <c r="N9" i="221"/>
  <c r="N19" i="221" s="1"/>
  <c r="N12" i="191"/>
  <c r="O9" i="192"/>
  <c r="O19" i="192" s="1"/>
  <c r="O9" i="221"/>
  <c r="O19" i="221" s="1"/>
  <c r="O12" i="191"/>
  <c r="K9" i="184"/>
  <c r="K19" i="184" s="1"/>
  <c r="K12" i="193"/>
  <c r="Q12" i="191"/>
  <c r="Q9" i="221"/>
  <c r="Q19" i="221" s="1"/>
  <c r="Q9" i="192"/>
  <c r="Q19" i="192" s="1"/>
  <c r="Q12" i="192" l="1"/>
  <c r="K22" i="193"/>
  <c r="K25" i="193"/>
  <c r="K27" i="193" s="1"/>
  <c r="H22" i="184"/>
  <c r="H25" i="184"/>
  <c r="H27" i="184" s="1"/>
  <c r="Q9" i="222"/>
  <c r="Q12" i="221"/>
  <c r="O9" i="222"/>
  <c r="O12" i="221"/>
  <c r="N9" i="222"/>
  <c r="N12" i="221"/>
  <c r="M12" i="184"/>
  <c r="I22" i="184"/>
  <c r="I25" i="184"/>
  <c r="I27" i="184" s="1"/>
  <c r="O12" i="192"/>
  <c r="N12" i="192"/>
  <c r="M25" i="193"/>
  <c r="M27" i="193" s="1"/>
  <c r="M22" i="193"/>
  <c r="L12" i="184"/>
  <c r="Q22" i="191"/>
  <c r="Q25" i="191"/>
  <c r="Q27" i="191" s="1"/>
  <c r="K12" i="184"/>
  <c r="O25" i="191"/>
  <c r="O27" i="191" s="1"/>
  <c r="O22" i="191"/>
  <c r="N22" i="191"/>
  <c r="N25" i="191"/>
  <c r="N27" i="191" s="1"/>
  <c r="G25" i="184"/>
  <c r="G27" i="184" s="1"/>
  <c r="G22" i="184"/>
  <c r="N19" i="222" l="1"/>
  <c r="Q19" i="222"/>
  <c r="O19" i="222"/>
  <c r="M22" i="184"/>
  <c r="M25" i="184"/>
  <c r="M27" i="184" s="1"/>
  <c r="Q12" i="222"/>
  <c r="K22" i="184"/>
  <c r="K25" i="184"/>
  <c r="K27" i="184" s="1"/>
  <c r="L22" i="184"/>
  <c r="L25" i="184"/>
  <c r="L27" i="184" s="1"/>
  <c r="N22" i="192"/>
  <c r="N25" i="192"/>
  <c r="N27" i="192" s="1"/>
  <c r="O12" i="222"/>
  <c r="Q22" i="221"/>
  <c r="Q25" i="221"/>
  <c r="Q27" i="221" s="1"/>
  <c r="N12" i="222"/>
  <c r="O22" i="221"/>
  <c r="O25" i="221"/>
  <c r="O27" i="221" s="1"/>
  <c r="O22" i="192"/>
  <c r="O25" i="192"/>
  <c r="O27" i="192" s="1"/>
  <c r="N25" i="221"/>
  <c r="N27" i="221" s="1"/>
  <c r="N22" i="221"/>
  <c r="Q22" i="192"/>
  <c r="Q25" i="192"/>
  <c r="Q27" i="192" s="1"/>
  <c r="O22" i="222" l="1"/>
  <c r="O25" i="222"/>
  <c r="O27" i="222" s="1"/>
  <c r="N22" i="222"/>
  <c r="N25" i="222"/>
  <c r="N27" i="222" s="1"/>
  <c r="Q22" i="222"/>
  <c r="Q25" i="222"/>
  <c r="Q27" i="222" s="1"/>
  <c r="B22" i="221" l="1"/>
  <c r="B24" i="221"/>
  <c r="B27" i="221" s="1"/>
  <c r="D39" i="33"/>
  <c r="B39" i="33" l="1"/>
  <c r="J29" i="33"/>
  <c r="L29" i="33"/>
  <c r="L39" i="33" s="1"/>
  <c r="L10" i="42" s="1"/>
  <c r="B10" i="242" s="1"/>
  <c r="H10" i="242" l="1"/>
  <c r="B20" i="242"/>
  <c r="B26" i="242" s="1"/>
  <c r="B10" i="243"/>
  <c r="D10" i="242"/>
  <c r="J39" i="33"/>
  <c r="M10" i="42"/>
  <c r="L21" i="42"/>
  <c r="L27" i="42" s="1"/>
  <c r="L10" i="196"/>
  <c r="L21" i="196" l="1"/>
  <c r="L27" i="196" s="1"/>
  <c r="B20" i="243"/>
  <c r="B26" i="243" s="1"/>
  <c r="D10" i="243"/>
  <c r="D20" i="242"/>
  <c r="D26" i="242" s="1"/>
  <c r="H20" i="242"/>
  <c r="H26" i="242" s="1"/>
  <c r="H10" i="243"/>
  <c r="J10" i="242"/>
  <c r="L8" i="42"/>
  <c r="B8" i="242" s="1"/>
  <c r="M10" i="196"/>
  <c r="C39" i="33"/>
  <c r="E39" i="33" s="1"/>
  <c r="K29" i="33"/>
  <c r="D20" i="243" l="1"/>
  <c r="D26" i="243" s="1"/>
  <c r="H20" i="243"/>
  <c r="H26" i="243" s="1"/>
  <c r="B18" i="242"/>
  <c r="H8" i="242"/>
  <c r="B8" i="243"/>
  <c r="D8" i="242"/>
  <c r="J10" i="243"/>
  <c r="J20" i="242"/>
  <c r="J26" i="242" s="1"/>
  <c r="M8" i="42"/>
  <c r="L19" i="42"/>
  <c r="L8" i="196"/>
  <c r="K39" i="33"/>
  <c r="M29" i="33"/>
  <c r="J20" i="243" l="1"/>
  <c r="J26" i="243" s="1"/>
  <c r="D18" i="242"/>
  <c r="D8" i="243"/>
  <c r="B18" i="243"/>
  <c r="H8" i="243"/>
  <c r="H18" i="242"/>
  <c r="J8" i="242"/>
  <c r="B24" i="242"/>
  <c r="L25" i="42"/>
  <c r="L9" i="42"/>
  <c r="B9" i="242" s="1"/>
  <c r="M39" i="33"/>
  <c r="L19" i="196"/>
  <c r="M8" i="196"/>
  <c r="H18" i="243" l="1"/>
  <c r="H24" i="242"/>
  <c r="D18" i="243"/>
  <c r="B9" i="243"/>
  <c r="B19" i="242"/>
  <c r="H9" i="242"/>
  <c r="D9" i="242"/>
  <c r="B12" i="242"/>
  <c r="J18" i="242"/>
  <c r="J8" i="243"/>
  <c r="B24" i="243"/>
  <c r="D24" i="242"/>
  <c r="L9" i="196"/>
  <c r="L20" i="42"/>
  <c r="M9" i="42"/>
  <c r="L12" i="42"/>
  <c r="M12" i="42" s="1"/>
  <c r="L25" i="196"/>
  <c r="B19" i="243" l="1"/>
  <c r="B12" i="243"/>
  <c r="H9" i="243"/>
  <c r="H19" i="242"/>
  <c r="J9" i="242"/>
  <c r="H12" i="242"/>
  <c r="D24" i="243"/>
  <c r="D9" i="243"/>
  <c r="D19" i="242"/>
  <c r="D12" i="242"/>
  <c r="J18" i="243"/>
  <c r="J24" i="242"/>
  <c r="B25" i="242"/>
  <c r="B27" i="242" s="1"/>
  <c r="B22" i="242"/>
  <c r="H24" i="243"/>
  <c r="L26" i="42"/>
  <c r="L28" i="42" s="1"/>
  <c r="L23" i="42"/>
  <c r="L20" i="196"/>
  <c r="M9" i="196"/>
  <c r="L12" i="196"/>
  <c r="M12" i="196" s="1"/>
  <c r="J24" i="243" l="1"/>
  <c r="D19" i="243"/>
  <c r="D12" i="243"/>
  <c r="J9" i="243"/>
  <c r="J19" i="242"/>
  <c r="J12" i="242"/>
  <c r="D25" i="242"/>
  <c r="D27" i="242" s="1"/>
  <c r="D22" i="242"/>
  <c r="H25" i="242"/>
  <c r="H27" i="242" s="1"/>
  <c r="H22" i="242"/>
  <c r="B25" i="243"/>
  <c r="B27" i="243" s="1"/>
  <c r="B22" i="243"/>
  <c r="H19" i="243"/>
  <c r="H12" i="243"/>
  <c r="L26" i="196"/>
  <c r="L28" i="196" s="1"/>
  <c r="L23" i="196"/>
  <c r="D25" i="243" l="1"/>
  <c r="D27" i="243" s="1"/>
  <c r="D22" i="243"/>
  <c r="J25" i="242"/>
  <c r="J27" i="242" s="1"/>
  <c r="J22" i="242"/>
  <c r="H25" i="243"/>
  <c r="H27" i="243" s="1"/>
  <c r="H22" i="243"/>
  <c r="J19" i="243"/>
  <c r="J12" i="243"/>
  <c r="E23" i="143"/>
  <c r="E26" i="143"/>
  <c r="E10" i="143"/>
  <c r="G29" i="184"/>
  <c r="G31" i="184" s="1"/>
  <c r="G35" i="184" s="1"/>
  <c r="E11" i="143"/>
  <c r="E13" i="143"/>
  <c r="H29" i="184"/>
  <c r="H31" i="184" s="1"/>
  <c r="H35" i="184" s="1"/>
  <c r="E24" i="143"/>
  <c r="I29" i="184"/>
  <c r="I31" i="184" s="1"/>
  <c r="I35" i="184" s="1"/>
  <c r="J25" i="243" l="1"/>
  <c r="J27" i="243" s="1"/>
  <c r="J22" i="243"/>
  <c r="L29" i="184" l="1"/>
  <c r="L31" i="184" s="1"/>
  <c r="L35" i="184" s="1"/>
  <c r="E28" i="244" l="1"/>
  <c r="O7" i="244" l="1"/>
  <c r="O6" i="244"/>
  <c r="L7" i="244"/>
  <c r="H35" i="244" s="1"/>
  <c r="B35" i="217" l="1"/>
  <c r="A24" i="184" l="1"/>
  <c r="A25" i="193"/>
  <c r="A27" i="196"/>
  <c r="A26" i="184" l="1"/>
  <c r="A25" i="225"/>
  <c r="A24" i="190"/>
  <c r="A26" i="223"/>
  <c r="A26" i="229"/>
  <c r="A24" i="220"/>
  <c r="A25" i="196"/>
  <c r="A27" i="224"/>
  <c r="A24" i="187"/>
  <c r="A26" i="192"/>
  <c r="A26" i="193"/>
  <c r="A24" i="193"/>
  <c r="A25" i="187"/>
  <c r="A28" i="234"/>
  <c r="A27" i="225"/>
  <c r="A26" i="220"/>
  <c r="A26" i="191"/>
  <c r="A26" i="243"/>
  <c r="A26" i="224"/>
  <c r="A25" i="184"/>
  <c r="A25" i="223"/>
  <c r="A25" i="194"/>
  <c r="A26" i="196"/>
  <c r="A24" i="229"/>
  <c r="A24" i="191"/>
  <c r="A28" i="233"/>
  <c r="A28" i="199"/>
  <c r="A26" i="189"/>
  <c r="A26" i="222"/>
  <c r="A26" i="242"/>
  <c r="A26" i="187"/>
  <c r="A25" i="189"/>
  <c r="A25" i="190"/>
  <c r="A25" i="192"/>
  <c r="A25" i="221"/>
  <c r="A25" i="230"/>
  <c r="A27" i="234"/>
  <c r="A26" i="234"/>
  <c r="A24" i="243"/>
  <c r="A24" i="194"/>
  <c r="A24" i="223"/>
  <c r="A26" i="175"/>
  <c r="A24" i="221"/>
  <c r="A24" i="222"/>
  <c r="A26" i="233"/>
  <c r="A25" i="224"/>
  <c r="A26" i="199"/>
  <c r="A26" i="190"/>
  <c r="A28" i="175"/>
  <c r="A26" i="221"/>
  <c r="A26" i="230"/>
  <c r="A26" i="194"/>
  <c r="A26" i="225"/>
  <c r="A25" i="222"/>
  <c r="A25" i="220"/>
  <c r="A25" i="229"/>
  <c r="A25" i="243"/>
  <c r="A25" i="242"/>
  <c r="A24" i="230"/>
  <c r="A24" i="192"/>
  <c r="A24" i="242"/>
  <c r="A24" i="189"/>
  <c r="A25" i="191"/>
  <c r="A27" i="199"/>
  <c r="A27" i="233"/>
  <c r="A27" i="175"/>
  <c r="J33" i="245" l="1"/>
  <c r="L33" i="233" l="1"/>
  <c r="B32" i="224"/>
  <c r="B34" i="225" s="1"/>
  <c r="B35" i="234"/>
  <c r="E35" i="234"/>
  <c r="E32" i="224"/>
  <c r="E34" i="225" s="1"/>
  <c r="O33" i="233"/>
  <c r="D35" i="234"/>
  <c r="N33" i="233"/>
  <c r="P33" i="233"/>
  <c r="F35" i="234"/>
  <c r="M33" i="233"/>
  <c r="C32" i="224"/>
  <c r="C34" i="225" s="1"/>
  <c r="C35" i="234"/>
  <c r="P35" i="234" l="1"/>
  <c r="O35" i="234"/>
  <c r="O32" i="224"/>
  <c r="O34" i="225" s="1"/>
  <c r="N35" i="234"/>
  <c r="M35" i="234"/>
  <c r="M32" i="224"/>
  <c r="M34" i="225" s="1"/>
  <c r="L32" i="224"/>
  <c r="L34" i="225" s="1"/>
  <c r="L35" i="234"/>
  <c r="E33" i="194" l="1"/>
  <c r="E33" i="192"/>
  <c r="M33" i="194"/>
  <c r="B33" i="192"/>
  <c r="Q33" i="192"/>
  <c r="I33" i="194"/>
  <c r="K33" i="194"/>
  <c r="J33" i="194"/>
  <c r="C33" i="194"/>
  <c r="M33" i="184"/>
  <c r="F33" i="194"/>
  <c r="K33" i="184"/>
  <c r="C33" i="192"/>
  <c r="E33" i="184"/>
  <c r="G33" i="194"/>
  <c r="C33" i="184"/>
  <c r="N33" i="192"/>
  <c r="B33" i="194"/>
  <c r="G31" i="221" l="1"/>
  <c r="G33" i="222" s="1"/>
  <c r="G33" i="192"/>
  <c r="B31" i="223"/>
  <c r="B33" i="220" s="1"/>
  <c r="B33" i="230"/>
  <c r="O31" i="221"/>
  <c r="O33" i="222" s="1"/>
  <c r="O33" i="192"/>
  <c r="D35" i="199"/>
  <c r="N33" i="175"/>
  <c r="D32" i="224"/>
  <c r="D34" i="225" s="1"/>
  <c r="D31" i="223"/>
  <c r="D33" i="220" s="1"/>
  <c r="D33" i="230"/>
  <c r="P33" i="175"/>
  <c r="F35" i="199"/>
  <c r="F32" i="224"/>
  <c r="F34" i="225" s="1"/>
  <c r="J31" i="223"/>
  <c r="J33" i="220" s="1"/>
  <c r="J33" i="230"/>
  <c r="H33" i="230"/>
  <c r="H31" i="223"/>
  <c r="H33" i="220" s="1"/>
  <c r="I33" i="192"/>
  <c r="I31" i="221"/>
  <c r="B33" i="189"/>
  <c r="E33" i="189" s="1"/>
  <c r="B31" i="221"/>
  <c r="N31" i="221"/>
  <c r="N33" i="222" s="1"/>
  <c r="E31" i="190"/>
  <c r="F33" i="192"/>
  <c r="F31" i="221"/>
  <c r="F33" i="222" s="1"/>
  <c r="I33" i="230"/>
  <c r="I31" i="223"/>
  <c r="I33" i="220" s="1"/>
  <c r="C33" i="230"/>
  <c r="C31" i="223"/>
  <c r="C33" i="220" s="1"/>
  <c r="F31" i="242" l="1"/>
  <c r="I33" i="222"/>
  <c r="P35" i="199"/>
  <c r="P32" i="224"/>
  <c r="P34" i="225" s="1"/>
  <c r="C31" i="242"/>
  <c r="B33" i="222"/>
  <c r="Q31" i="221"/>
  <c r="Q33" i="222" s="1"/>
  <c r="C31" i="221"/>
  <c r="C33" i="222" s="1"/>
  <c r="E31" i="221"/>
  <c r="E33" i="222" s="1"/>
  <c r="N35" i="199"/>
  <c r="N32" i="224"/>
  <c r="N34" i="225" s="1"/>
  <c r="L32" i="42"/>
  <c r="B34" i="196"/>
  <c r="L34" i="196" l="1"/>
  <c r="B31" i="242"/>
  <c r="C33" i="243"/>
  <c r="I31" i="242"/>
  <c r="I33" i="243" s="1"/>
  <c r="F33" i="243"/>
  <c r="G31" i="242"/>
  <c r="G33" i="243" s="1"/>
  <c r="B33" i="243" l="1"/>
  <c r="D31" i="242"/>
  <c r="D33" i="243" s="1"/>
  <c r="H31" i="242"/>
  <c r="J31" i="242" l="1"/>
  <c r="J33" i="243" s="1"/>
  <c r="H33" i="243"/>
  <c r="B36" i="217" l="1"/>
  <c r="B40" i="217" s="1"/>
  <c r="C78" i="143" l="1"/>
  <c r="M78" i="143" s="1"/>
  <c r="J35" i="242"/>
  <c r="J37" i="243" s="1"/>
  <c r="M98" i="143" s="1"/>
  <c r="P78" i="143" l="1"/>
  <c r="C55" i="120"/>
  <c r="D55" i="120" l="1"/>
  <c r="H47" i="244" l="1"/>
  <c r="D36" i="244" l="1"/>
  <c r="AD7" i="245" s="1"/>
  <c r="B15" i="244"/>
  <c r="M7" i="245" s="1"/>
  <c r="F22" i="244"/>
  <c r="W7" i="245" s="1"/>
  <c r="W10" i="245" s="1"/>
  <c r="W13" i="245" s="1"/>
  <c r="W17" i="245" s="1"/>
  <c r="W20" i="245" s="1"/>
  <c r="L8" i="244"/>
  <c r="B8" i="244"/>
  <c r="B7" i="245" s="1"/>
  <c r="D29" i="244"/>
  <c r="Z7" i="245" s="1"/>
  <c r="Z10" i="245" s="1"/>
  <c r="Z13" i="245" s="1"/>
  <c r="Z17" i="245" s="1"/>
  <c r="Z20" i="245" s="1"/>
  <c r="B22" i="244"/>
  <c r="S7" i="245" s="1"/>
  <c r="E22" i="244"/>
  <c r="V7" i="245" s="1"/>
  <c r="V10" i="245" s="1"/>
  <c r="V13" i="245" s="1"/>
  <c r="V17" i="245" s="1"/>
  <c r="V20" i="245" s="1"/>
  <c r="C22" i="244"/>
  <c r="T7" i="245" s="1"/>
  <c r="T10" i="245" s="1"/>
  <c r="T13" i="245" s="1"/>
  <c r="T17" i="245" s="1"/>
  <c r="T20" i="245" s="1"/>
  <c r="G15" i="244"/>
  <c r="E15" i="244"/>
  <c r="P7" i="245" s="1"/>
  <c r="P10" i="245" s="1"/>
  <c r="P13" i="245" s="1"/>
  <c r="P17" i="245" s="1"/>
  <c r="P20" i="245" s="1"/>
  <c r="B29" i="244"/>
  <c r="X7" i="245" s="1"/>
  <c r="X10" i="245" s="1"/>
  <c r="X13" i="245" s="1"/>
  <c r="X17" i="245" s="1"/>
  <c r="X20" i="245" s="1"/>
  <c r="F36" i="244"/>
  <c r="E29" i="244"/>
  <c r="H36" i="244" l="1"/>
  <c r="C29" i="187"/>
  <c r="B29" i="187"/>
  <c r="V23" i="245"/>
  <c r="E29" i="187"/>
  <c r="F31" i="175"/>
  <c r="D31" i="175"/>
  <c r="AA7" i="245"/>
  <c r="AA10" i="245" s="1"/>
  <c r="AA13" i="245" s="1"/>
  <c r="AA17" i="245" s="1"/>
  <c r="AA20" i="245" s="1"/>
  <c r="S10" i="245"/>
  <c r="S13" i="245" s="1"/>
  <c r="S17" i="245" s="1"/>
  <c r="S20" i="245" s="1"/>
  <c r="G29" i="187"/>
  <c r="W23" i="245"/>
  <c r="I29" i="187"/>
  <c r="F29" i="187"/>
  <c r="E29" i="193"/>
  <c r="C29" i="193"/>
  <c r="E29" i="190"/>
  <c r="B29" i="190"/>
  <c r="R7" i="245"/>
  <c r="R10" i="245" s="1"/>
  <c r="R13" i="245" s="1"/>
  <c r="R17" i="245" s="1"/>
  <c r="R20" i="245" s="1"/>
  <c r="M10" i="245"/>
  <c r="M13" i="245" s="1"/>
  <c r="M17" i="245" s="1"/>
  <c r="M20" i="245" s="1"/>
  <c r="I29" i="191"/>
  <c r="T23" i="245"/>
  <c r="F29" i="191"/>
  <c r="G29" i="191"/>
  <c r="B10" i="245"/>
  <c r="B13" i="245" s="1"/>
  <c r="B17" i="245" s="1"/>
  <c r="B20" i="245" s="1"/>
  <c r="B30" i="42" s="1"/>
  <c r="L7" i="245"/>
  <c r="AF7" i="245"/>
  <c r="AF10" i="245" s="1"/>
  <c r="AF13" i="245" s="1"/>
  <c r="AF17" i="245" s="1"/>
  <c r="AF20" i="245" s="1"/>
  <c r="AD10" i="245"/>
  <c r="AD13" i="245" s="1"/>
  <c r="AD17" i="245" s="1"/>
  <c r="AD20" i="245" s="1"/>
  <c r="B30" i="196" l="1"/>
  <c r="B34" i="42"/>
  <c r="B33" i="190"/>
  <c r="B29" i="189"/>
  <c r="B31" i="189" s="1"/>
  <c r="B35" i="189" s="1"/>
  <c r="F33" i="187"/>
  <c r="F29" i="194"/>
  <c r="F31" i="194" s="1"/>
  <c r="F35" i="194" s="1"/>
  <c r="D39" i="143" s="1"/>
  <c r="B29" i="191"/>
  <c r="C29" i="191"/>
  <c r="E29" i="191"/>
  <c r="E29" i="221" s="1"/>
  <c r="S23" i="245"/>
  <c r="U24" i="245" s="1"/>
  <c r="E29" i="194"/>
  <c r="E31" i="194" s="1"/>
  <c r="E35" i="194" s="1"/>
  <c r="D37" i="143" s="1"/>
  <c r="E33" i="187"/>
  <c r="C29" i="229"/>
  <c r="D29" i="229"/>
  <c r="B29" i="229"/>
  <c r="G29" i="221"/>
  <c r="G33" i="191"/>
  <c r="G29" i="192"/>
  <c r="G31" i="192" s="1"/>
  <c r="G35" i="192" s="1"/>
  <c r="C40" i="143" s="1"/>
  <c r="E33" i="190"/>
  <c r="E29" i="189"/>
  <c r="E31" i="189" s="1"/>
  <c r="E35" i="189" s="1"/>
  <c r="I29" i="194"/>
  <c r="I31" i="194" s="1"/>
  <c r="I35" i="194" s="1"/>
  <c r="D42" i="143" s="1"/>
  <c r="I33" i="187"/>
  <c r="W24" i="245"/>
  <c r="I33" i="191"/>
  <c r="I29" i="192"/>
  <c r="I31" i="192" s="1"/>
  <c r="I35" i="192" s="1"/>
  <c r="C42" i="143" s="1"/>
  <c r="I29" i="221"/>
  <c r="F29" i="221"/>
  <c r="F29" i="192"/>
  <c r="F31" i="192" s="1"/>
  <c r="F35" i="192" s="1"/>
  <c r="C39" i="143" s="1"/>
  <c r="F33" i="191"/>
  <c r="B31" i="233"/>
  <c r="F31" i="233"/>
  <c r="D31" i="233"/>
  <c r="C31" i="233"/>
  <c r="E31" i="233"/>
  <c r="C29" i="184"/>
  <c r="C31" i="184" s="1"/>
  <c r="C35" i="184" s="1"/>
  <c r="E40" i="143" s="1"/>
  <c r="C33" i="193"/>
  <c r="K29" i="193"/>
  <c r="N31" i="175"/>
  <c r="D35" i="175"/>
  <c r="D31" i="199"/>
  <c r="D33" i="199" s="1"/>
  <c r="D37" i="199" s="1"/>
  <c r="E12" i="143" s="1"/>
  <c r="B33" i="187"/>
  <c r="B29" i="194"/>
  <c r="B31" i="194" s="1"/>
  <c r="B35" i="194" s="1"/>
  <c r="D34" i="143" s="1"/>
  <c r="AH7" i="245"/>
  <c r="AH10" i="245" s="1"/>
  <c r="L10" i="245"/>
  <c r="M29" i="193"/>
  <c r="E29" i="184"/>
  <c r="E31" i="184" s="1"/>
  <c r="E35" i="184" s="1"/>
  <c r="E42" i="143" s="1"/>
  <c r="E33" i="193"/>
  <c r="G33" i="187"/>
  <c r="G29" i="194"/>
  <c r="G31" i="194" s="1"/>
  <c r="G35" i="194" s="1"/>
  <c r="D40" i="143" s="1"/>
  <c r="F31" i="199"/>
  <c r="F33" i="199" s="1"/>
  <c r="F37" i="199" s="1"/>
  <c r="E14" i="143" s="1"/>
  <c r="F35" i="175"/>
  <c r="P31" i="175"/>
  <c r="C29" i="194"/>
  <c r="C31" i="194" s="1"/>
  <c r="C35" i="194" s="1"/>
  <c r="D35" i="143" s="1"/>
  <c r="C33" i="187"/>
  <c r="H48" i="244"/>
  <c r="M39" i="143" l="1"/>
  <c r="C33" i="120" s="1"/>
  <c r="D33" i="120" s="1"/>
  <c r="B32" i="196"/>
  <c r="B36" i="196" s="1"/>
  <c r="C3" i="143" s="1"/>
  <c r="M3" i="143" s="1"/>
  <c r="C9" i="120" s="1"/>
  <c r="D9" i="120" s="1"/>
  <c r="D35" i="233"/>
  <c r="N31" i="233"/>
  <c r="D31" i="234"/>
  <c r="D33" i="234" s="1"/>
  <c r="D37" i="234" s="1"/>
  <c r="C12" i="143" s="1"/>
  <c r="M12" i="143" s="1"/>
  <c r="C15" i="120" s="1"/>
  <c r="D15" i="120" s="1"/>
  <c r="D30" i="224"/>
  <c r="E33" i="221"/>
  <c r="E29" i="222"/>
  <c r="B29" i="221"/>
  <c r="B33" i="191"/>
  <c r="B29" i="192"/>
  <c r="B31" i="192" s="1"/>
  <c r="B35" i="192" s="1"/>
  <c r="C34" i="143" s="1"/>
  <c r="F34" i="143"/>
  <c r="F51" i="143"/>
  <c r="P31" i="199"/>
  <c r="P33" i="199" s="1"/>
  <c r="P37" i="199" s="1"/>
  <c r="E27" i="143" s="1"/>
  <c r="P35" i="175"/>
  <c r="L13" i="245"/>
  <c r="AH13" i="245" s="1"/>
  <c r="AH17" i="245" s="1"/>
  <c r="P31" i="233"/>
  <c r="F35" i="233"/>
  <c r="F31" i="234"/>
  <c r="F33" i="234" s="1"/>
  <c r="F37" i="234" s="1"/>
  <c r="C14" i="143" s="1"/>
  <c r="M14" i="143" s="1"/>
  <c r="C17" i="120" s="1"/>
  <c r="D17" i="120" s="1"/>
  <c r="F30" i="224"/>
  <c r="F33" i="221"/>
  <c r="F29" i="222"/>
  <c r="F29" i="242"/>
  <c r="I33" i="221"/>
  <c r="I29" i="222"/>
  <c r="F37" i="143"/>
  <c r="F54" i="143"/>
  <c r="G29" i="222"/>
  <c r="G33" i="221"/>
  <c r="O29" i="191"/>
  <c r="Q29" i="191"/>
  <c r="N29" i="191"/>
  <c r="M33" i="193"/>
  <c r="M29" i="184"/>
  <c r="M31" i="184" s="1"/>
  <c r="M35" i="184" s="1"/>
  <c r="E54" i="143" s="1"/>
  <c r="N35" i="175"/>
  <c r="N31" i="199"/>
  <c r="N33" i="199" s="1"/>
  <c r="N37" i="199" s="1"/>
  <c r="E25" i="143" s="1"/>
  <c r="E35" i="233"/>
  <c r="E31" i="234"/>
  <c r="E33" i="234" s="1"/>
  <c r="E37" i="234" s="1"/>
  <c r="C13" i="143" s="1"/>
  <c r="M13" i="143" s="1"/>
  <c r="C16" i="120" s="1"/>
  <c r="D16" i="120" s="1"/>
  <c r="E30" i="224"/>
  <c r="O31" i="233"/>
  <c r="B30" i="224"/>
  <c r="B31" i="234"/>
  <c r="B33" i="234" s="1"/>
  <c r="B37" i="234" s="1"/>
  <c r="C10" i="143" s="1"/>
  <c r="M10" i="143" s="1"/>
  <c r="C13" i="120" s="1"/>
  <c r="D13" i="120" s="1"/>
  <c r="B35" i="233"/>
  <c r="L31" i="233"/>
  <c r="M42" i="143"/>
  <c r="C36" i="120" s="1"/>
  <c r="D36" i="120" s="1"/>
  <c r="B29" i="230"/>
  <c r="B31" i="230" s="1"/>
  <c r="B35" i="230" s="1"/>
  <c r="D61" i="143" s="1"/>
  <c r="M61" i="143" s="1"/>
  <c r="C46" i="120" s="1"/>
  <c r="D46" i="120" s="1"/>
  <c r="H29" i="229"/>
  <c r="B33" i="229"/>
  <c r="B29" i="223"/>
  <c r="E33" i="191"/>
  <c r="E29" i="192"/>
  <c r="E31" i="192" s="1"/>
  <c r="E35" i="192" s="1"/>
  <c r="C37" i="143" s="1"/>
  <c r="K29" i="187"/>
  <c r="J29" i="187"/>
  <c r="M29" i="187"/>
  <c r="C29" i="223"/>
  <c r="C29" i="230"/>
  <c r="C31" i="230" s="1"/>
  <c r="C35" i="230" s="1"/>
  <c r="D62" i="143" s="1"/>
  <c r="M62" i="143" s="1"/>
  <c r="C47" i="120" s="1"/>
  <c r="D47" i="120" s="1"/>
  <c r="C33" i="229"/>
  <c r="I29" i="229"/>
  <c r="K29" i="184"/>
  <c r="K31" i="184" s="1"/>
  <c r="K35" i="184" s="1"/>
  <c r="E52" i="143" s="1"/>
  <c r="K33" i="193"/>
  <c r="C35" i="233"/>
  <c r="C30" i="224"/>
  <c r="M31" i="233"/>
  <c r="C31" i="234"/>
  <c r="C33" i="234" s="1"/>
  <c r="C37" i="234" s="1"/>
  <c r="C11" i="143" s="1"/>
  <c r="M11" i="143" s="1"/>
  <c r="C14" i="120" s="1"/>
  <c r="D14" i="120" s="1"/>
  <c r="M40" i="143"/>
  <c r="D33" i="229"/>
  <c r="D29" i="223"/>
  <c r="J29" i="229"/>
  <c r="D29" i="230"/>
  <c r="D31" i="230" s="1"/>
  <c r="D35" i="230" s="1"/>
  <c r="D63" i="143" s="1"/>
  <c r="M63" i="143" s="1"/>
  <c r="C48" i="120" s="1"/>
  <c r="D48" i="120" s="1"/>
  <c r="C29" i="221"/>
  <c r="C29" i="192"/>
  <c r="C31" i="192" s="1"/>
  <c r="C35" i="192" s="1"/>
  <c r="C35" i="143" s="1"/>
  <c r="M35" i="143" s="1"/>
  <c r="C33" i="191"/>
  <c r="M37" i="143" l="1"/>
  <c r="C31" i="120" s="1"/>
  <c r="D31" i="120" s="1"/>
  <c r="F31" i="222"/>
  <c r="F35" i="222" s="1"/>
  <c r="P39" i="143" s="1"/>
  <c r="I31" i="222"/>
  <c r="I35" i="222" s="1"/>
  <c r="P42" i="143" s="1"/>
  <c r="G31" i="222"/>
  <c r="G35" i="222" s="1"/>
  <c r="P40" i="143" s="1"/>
  <c r="E31" i="222"/>
  <c r="E35" i="222" s="1"/>
  <c r="D30" i="225"/>
  <c r="D34" i="224"/>
  <c r="C33" i="221"/>
  <c r="C29" i="222"/>
  <c r="C34" i="224"/>
  <c r="C30" i="225"/>
  <c r="C29" i="242"/>
  <c r="C29" i="220"/>
  <c r="C33" i="223"/>
  <c r="H29" i="223"/>
  <c r="H29" i="230"/>
  <c r="H31" i="230" s="1"/>
  <c r="H35" i="230" s="1"/>
  <c r="D70" i="143" s="1"/>
  <c r="M70" i="143" s="1"/>
  <c r="H33" i="229"/>
  <c r="E30" i="225"/>
  <c r="E34" i="224"/>
  <c r="N33" i="191"/>
  <c r="N29" i="192"/>
  <c r="N31" i="192" s="1"/>
  <c r="N35" i="192" s="1"/>
  <c r="C51" i="143" s="1"/>
  <c r="N29" i="221"/>
  <c r="F30" i="225"/>
  <c r="F34" i="224"/>
  <c r="B33" i="221"/>
  <c r="B29" i="222"/>
  <c r="D33" i="223"/>
  <c r="D29" i="220"/>
  <c r="M31" i="234"/>
  <c r="M33" i="234" s="1"/>
  <c r="M37" i="234" s="1"/>
  <c r="C24" i="143" s="1"/>
  <c r="M24" i="143" s="1"/>
  <c r="M30" i="224"/>
  <c r="M35" i="233"/>
  <c r="K29" i="194"/>
  <c r="K31" i="194" s="1"/>
  <c r="K35" i="194" s="1"/>
  <c r="D52" i="143" s="1"/>
  <c r="K33" i="187"/>
  <c r="L31" i="234"/>
  <c r="L33" i="234" s="1"/>
  <c r="L37" i="234" s="1"/>
  <c r="C23" i="143" s="1"/>
  <c r="M23" i="143" s="1"/>
  <c r="L35" i="233"/>
  <c r="L30" i="224"/>
  <c r="O35" i="233"/>
  <c r="O31" i="234"/>
  <c r="O33" i="234" s="1"/>
  <c r="O37" i="234" s="1"/>
  <c r="C26" i="143" s="1"/>
  <c r="M26" i="143" s="1"/>
  <c r="O30" i="224"/>
  <c r="C34" i="120"/>
  <c r="D34" i="120" s="1"/>
  <c r="I29" i="230"/>
  <c r="I31" i="230" s="1"/>
  <c r="I35" i="230" s="1"/>
  <c r="D71" i="143" s="1"/>
  <c r="M71" i="143" s="1"/>
  <c r="I33" i="229"/>
  <c r="I29" i="223"/>
  <c r="M29" i="194"/>
  <c r="M31" i="194" s="1"/>
  <c r="M35" i="194" s="1"/>
  <c r="D54" i="143" s="1"/>
  <c r="M33" i="187"/>
  <c r="Q33" i="191"/>
  <c r="Q29" i="192"/>
  <c r="Q31" i="192" s="1"/>
  <c r="Q35" i="192" s="1"/>
  <c r="C54" i="143" s="1"/>
  <c r="Q29" i="221"/>
  <c r="G29" i="242"/>
  <c r="F33" i="242"/>
  <c r="F29" i="243"/>
  <c r="L17" i="245"/>
  <c r="L20" i="245" s="1"/>
  <c r="L30" i="42" s="1"/>
  <c r="N35" i="233"/>
  <c r="N31" i="234"/>
  <c r="N33" i="234" s="1"/>
  <c r="N37" i="234" s="1"/>
  <c r="C25" i="143" s="1"/>
  <c r="M25" i="143" s="1"/>
  <c r="N30" i="224"/>
  <c r="C29" i="120"/>
  <c r="D29" i="120" s="1"/>
  <c r="P30" i="224"/>
  <c r="P35" i="233"/>
  <c r="P31" i="234"/>
  <c r="P33" i="234" s="1"/>
  <c r="P37" i="234" s="1"/>
  <c r="C27" i="143" s="1"/>
  <c r="M27" i="143" s="1"/>
  <c r="C24" i="120" s="1"/>
  <c r="D24" i="120" s="1"/>
  <c r="J29" i="223"/>
  <c r="J33" i="229"/>
  <c r="J29" i="230"/>
  <c r="J31" i="230" s="1"/>
  <c r="J35" i="230" s="1"/>
  <c r="D72" i="143" s="1"/>
  <c r="M72" i="143" s="1"/>
  <c r="C53" i="120" s="1"/>
  <c r="D53" i="120" s="1"/>
  <c r="J29" i="194"/>
  <c r="J31" i="194" s="1"/>
  <c r="J35" i="194" s="1"/>
  <c r="D51" i="143" s="1"/>
  <c r="J33" i="187"/>
  <c r="B33" i="223"/>
  <c r="B29" i="220"/>
  <c r="B30" i="225"/>
  <c r="B34" i="224"/>
  <c r="O29" i="221"/>
  <c r="O29" i="192"/>
  <c r="O31" i="192" s="1"/>
  <c r="O35" i="192" s="1"/>
  <c r="C52" i="143" s="1"/>
  <c r="O33" i="191"/>
  <c r="M34" i="143"/>
  <c r="P37" i="143" l="1"/>
  <c r="M54" i="143"/>
  <c r="C42" i="120" s="1"/>
  <c r="D42" i="120" s="1"/>
  <c r="F31" i="243"/>
  <c r="F35" i="243" s="1"/>
  <c r="M89" i="143" s="1"/>
  <c r="C65" i="120" s="1"/>
  <c r="D31" i="220"/>
  <c r="D35" i="220" s="1"/>
  <c r="P63" i="143" s="1"/>
  <c r="D32" i="225"/>
  <c r="F32" i="225"/>
  <c r="C31" i="220"/>
  <c r="C35" i="220" s="1"/>
  <c r="P62" i="143" s="1"/>
  <c r="C31" i="222"/>
  <c r="C35" i="222" s="1"/>
  <c r="P35" i="143" s="1"/>
  <c r="B32" i="225"/>
  <c r="B31" i="222"/>
  <c r="B35" i="222" s="1"/>
  <c r="E32" i="225"/>
  <c r="B31" i="220"/>
  <c r="B35" i="220" s="1"/>
  <c r="P61" i="143" s="1"/>
  <c r="C32" i="225"/>
  <c r="M52" i="143"/>
  <c r="P30" i="225"/>
  <c r="P34" i="224"/>
  <c r="O34" i="224"/>
  <c r="O30" i="225"/>
  <c r="G33" i="242"/>
  <c r="G29" i="243"/>
  <c r="M30" i="225"/>
  <c r="M34" i="224"/>
  <c r="N29" i="222"/>
  <c r="N33" i="221"/>
  <c r="I29" i="242"/>
  <c r="C33" i="242"/>
  <c r="C29" i="243"/>
  <c r="H29" i="220"/>
  <c r="H33" i="223"/>
  <c r="O29" i="222"/>
  <c r="O33" i="221"/>
  <c r="L34" i="42"/>
  <c r="L30" i="196"/>
  <c r="B29" i="242"/>
  <c r="Q29" i="222"/>
  <c r="Q33" i="221"/>
  <c r="M51" i="143"/>
  <c r="C28" i="120"/>
  <c r="D28" i="120" s="1"/>
  <c r="P34" i="143"/>
  <c r="J33" i="223"/>
  <c r="J29" i="220"/>
  <c r="N34" i="224"/>
  <c r="N30" i="225"/>
  <c r="I29" i="220"/>
  <c r="I33" i="223"/>
  <c r="L34" i="224"/>
  <c r="L30" i="225"/>
  <c r="N32" i="225" l="1"/>
  <c r="M32" i="225"/>
  <c r="F36" i="225"/>
  <c r="P14" i="143" s="1"/>
  <c r="Q31" i="222"/>
  <c r="Q35" i="222" s="1"/>
  <c r="P54" i="143" s="1"/>
  <c r="H31" i="220"/>
  <c r="H35" i="220" s="1"/>
  <c r="P70" i="143" s="1"/>
  <c r="G31" i="243"/>
  <c r="G35" i="243" s="1"/>
  <c r="M90" i="143" s="1"/>
  <c r="D65" i="120" s="1"/>
  <c r="I31" i="220"/>
  <c r="I35" i="220" s="1"/>
  <c r="P71" i="143" s="1"/>
  <c r="J31" i="220"/>
  <c r="J35" i="220" s="1"/>
  <c r="P72" i="143" s="1"/>
  <c r="O31" i="222"/>
  <c r="O35" i="222" s="1"/>
  <c r="P52" i="143" s="1"/>
  <c r="C31" i="243"/>
  <c r="C35" i="243" s="1"/>
  <c r="M85" i="143" s="1"/>
  <c r="C60" i="120" s="1"/>
  <c r="N31" i="222"/>
  <c r="N35" i="222" s="1"/>
  <c r="P51" i="143" s="1"/>
  <c r="P32" i="225"/>
  <c r="C36" i="225"/>
  <c r="P11" i="143" s="1"/>
  <c r="E36" i="225"/>
  <c r="P13" i="143" s="1"/>
  <c r="B36" i="225"/>
  <c r="P10" i="143" s="1"/>
  <c r="L32" i="225"/>
  <c r="L32" i="196"/>
  <c r="L36" i="196" s="1"/>
  <c r="P3" i="143" s="1"/>
  <c r="O32" i="225"/>
  <c r="D36" i="225"/>
  <c r="P12" i="143" s="1"/>
  <c r="B33" i="242"/>
  <c r="D29" i="242"/>
  <c r="H29" i="242"/>
  <c r="B29" i="243"/>
  <c r="I29" i="243"/>
  <c r="I33" i="242"/>
  <c r="D60" i="120" l="1"/>
  <c r="I31" i="243"/>
  <c r="I35" i="243" s="1"/>
  <c r="M94" i="143" s="1"/>
  <c r="O36" i="225"/>
  <c r="P26" i="143" s="1"/>
  <c r="L36" i="225"/>
  <c r="P23" i="143" s="1"/>
  <c r="M36" i="225"/>
  <c r="P24" i="143" s="1"/>
  <c r="P36" i="225"/>
  <c r="P27" i="143" s="1"/>
  <c r="B31" i="243"/>
  <c r="B35" i="243" s="1"/>
  <c r="M84" i="143" s="1"/>
  <c r="C59" i="120" s="1"/>
  <c r="N36" i="225"/>
  <c r="P25" i="143" s="1"/>
  <c r="J29" i="242"/>
  <c r="H29" i="243"/>
  <c r="H33" i="242"/>
  <c r="D33" i="242"/>
  <c r="D29" i="243"/>
  <c r="D59" i="120" l="1"/>
  <c r="H31" i="243"/>
  <c r="H35" i="243" s="1"/>
  <c r="M93" i="143" s="1"/>
  <c r="D31" i="243"/>
  <c r="J29" i="243"/>
  <c r="J33" i="242"/>
  <c r="D35" i="243" l="1"/>
  <c r="M86" i="143" s="1"/>
  <c r="C61" i="120" s="1"/>
  <c r="D61" i="120" s="1"/>
  <c r="J31" i="243"/>
  <c r="J35" i="243" s="1"/>
  <c r="M95" i="143" s="1"/>
  <c r="C66" i="120" s="1"/>
  <c r="D66" i="120" s="1"/>
</calcChain>
</file>

<file path=xl/sharedStrings.xml><?xml version="1.0" encoding="utf-8"?>
<sst xmlns="http://schemas.openxmlformats.org/spreadsheetml/2006/main" count="3199" uniqueCount="458">
  <si>
    <t>Secondary</t>
  </si>
  <si>
    <t>Primary</t>
  </si>
  <si>
    <t>Total</t>
  </si>
  <si>
    <t xml:space="preserve">     </t>
  </si>
  <si>
    <t>Max Annual Demand (kW)</t>
  </si>
  <si>
    <t>0 - 2</t>
  </si>
  <si>
    <t>3 - 6</t>
  </si>
  <si>
    <t>7 - 12</t>
  </si>
  <si>
    <t>26 - 50</t>
  </si>
  <si>
    <t>51 - 75</t>
  </si>
  <si>
    <t>76 - 100</t>
  </si>
  <si>
    <t>101 - 150</t>
  </si>
  <si>
    <t>251 - 350</t>
  </si>
  <si>
    <t>351 - 450</t>
  </si>
  <si>
    <t>551 - 650</t>
  </si>
  <si>
    <t>651 - 750</t>
  </si>
  <si>
    <t>751 - 850</t>
  </si>
  <si>
    <t>851 - 1,050</t>
  </si>
  <si>
    <t>1,051 - 1,250</t>
  </si>
  <si>
    <t>1,251 - 1,500</t>
  </si>
  <si>
    <t>1,501 - 2,000</t>
  </si>
  <si>
    <t>2,001 - 2,500</t>
  </si>
  <si>
    <t>2,501 - 3,000</t>
  </si>
  <si>
    <t>3,001 - 3,500</t>
  </si>
  <si>
    <t>3,501 - 4,000</t>
  </si>
  <si>
    <t>4,001 - 5,000</t>
  </si>
  <si>
    <t>25,001 - 50,000</t>
  </si>
  <si>
    <t>&gt;50,000</t>
  </si>
  <si>
    <t>DR</t>
  </si>
  <si>
    <t>DM</t>
  </si>
  <si>
    <t>DS</t>
  </si>
  <si>
    <t>DT</t>
  </si>
  <si>
    <t>120/240</t>
  </si>
  <si>
    <t>120/208</t>
  </si>
  <si>
    <t>277/480</t>
  </si>
  <si>
    <t>Subtotal</t>
  </si>
  <si>
    <t>Transformers</t>
  </si>
  <si>
    <t>Services</t>
  </si>
  <si>
    <t>Meters</t>
  </si>
  <si>
    <t>Unit Cost</t>
  </si>
  <si>
    <t>Meter</t>
  </si>
  <si>
    <t>Average</t>
  </si>
  <si>
    <t>($)</t>
  </si>
  <si>
    <t>($/Cust)</t>
  </si>
  <si>
    <t>($/Unit)</t>
  </si>
  <si>
    <t>(Cust)</t>
  </si>
  <si>
    <t>Average Cust Cost</t>
  </si>
  <si>
    <t>Cost Component</t>
  </si>
  <si>
    <t>Class</t>
  </si>
  <si>
    <t>TSM Components</t>
  </si>
  <si>
    <t>O&amp;M Expenses</t>
  </si>
  <si>
    <t xml:space="preserve">    Services</t>
  </si>
  <si>
    <t xml:space="preserve">    Meters</t>
  </si>
  <si>
    <t xml:space="preserve">    Transformers </t>
  </si>
  <si>
    <t>RESIDENTIAL CLASS TSM COSTS</t>
  </si>
  <si>
    <t>A6-TOU</t>
  </si>
  <si>
    <t>PA</t>
  </si>
  <si>
    <t>Customer Accounts/Services</t>
  </si>
  <si>
    <t>Lighting</t>
  </si>
  <si>
    <t>Number of Customers</t>
  </si>
  <si>
    <t>Working Capital at</t>
  </si>
  <si>
    <t>General Plant Loading at</t>
  </si>
  <si>
    <t>Residential</t>
  </si>
  <si>
    <t>Agriculture</t>
  </si>
  <si>
    <t>GRC Escalators</t>
  </si>
  <si>
    <t>Marginal Customer Cost Development Loading Factors</t>
  </si>
  <si>
    <t>DR-TOU</t>
  </si>
  <si>
    <t>DR-SES</t>
  </si>
  <si>
    <t>DT-RV</t>
  </si>
  <si>
    <t>A-TC</t>
  </si>
  <si>
    <t>Schedule A-TC</t>
  </si>
  <si>
    <t>UM</t>
  </si>
  <si>
    <t>AL-TOU</t>
  </si>
  <si>
    <t>PA-T-1</t>
  </si>
  <si>
    <t>Small Commercial Class</t>
  </si>
  <si>
    <t xml:space="preserve">      Secondary Voltage Service</t>
  </si>
  <si>
    <t xml:space="preserve">      Primary Voltage Service</t>
  </si>
  <si>
    <t>Agricultural Class</t>
  </si>
  <si>
    <t>Rental (RECC)</t>
  </si>
  <si>
    <t>Small Commercial Class Average</t>
  </si>
  <si>
    <t>Line</t>
  </si>
  <si>
    <t>SCH DR TSM COSTS</t>
  </si>
  <si>
    <t>Total ($/Customer/Year)</t>
  </si>
  <si>
    <t>Total  ($/Customer/Year)</t>
  </si>
  <si>
    <t>Transmission</t>
  </si>
  <si>
    <t>&gt; 12 MW</t>
  </si>
  <si>
    <t>Check</t>
  </si>
  <si>
    <t>0-5 kW</t>
  </si>
  <si>
    <t>EV-TOU-2</t>
  </si>
  <si>
    <t>EV-TOU</t>
  </si>
  <si>
    <t>DG-R</t>
  </si>
  <si>
    <t>RESIDENTIAL CLASS TSM SUMMARY</t>
  </si>
  <si>
    <t xml:space="preserve">    Transformers</t>
  </si>
  <si>
    <t>3-Phase</t>
  </si>
  <si>
    <t>277/480 3-Phase</t>
  </si>
  <si>
    <t>120/240 3-Phase</t>
  </si>
  <si>
    <t>120/208 3-Phase</t>
  </si>
  <si>
    <t>21 - 25</t>
  </si>
  <si>
    <t>Total - Residential Class</t>
  </si>
  <si>
    <t>1-Phase</t>
  </si>
  <si>
    <t>Total - Small Commercial Class</t>
  </si>
  <si>
    <t>151 - 200</t>
  </si>
  <si>
    <t>201 - 250</t>
  </si>
  <si>
    <t>451 - 500</t>
  </si>
  <si>
    <t>501 - 550</t>
  </si>
  <si>
    <t>13 - 20</t>
  </si>
  <si>
    <t>5,001 - 12,000</t>
  </si>
  <si>
    <t>12,001 - 25,000</t>
  </si>
  <si>
    <t>120/240 1-Phase</t>
  </si>
  <si>
    <t>&gt;5 - 20 kW</t>
  </si>
  <si>
    <t>&gt;20 - 50 kW</t>
  </si>
  <si>
    <t>&gt;50 kW</t>
  </si>
  <si>
    <t>SECONDARY</t>
  </si>
  <si>
    <t>PRIMARY</t>
  </si>
  <si>
    <t>&lt; 20 kW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</si>
  <si>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</si>
  <si>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120/ 240 1-Phase</t>
  </si>
  <si>
    <t>277/240</t>
  </si>
  <si>
    <t>Secondary Total</t>
  </si>
  <si>
    <t>&gt; 500 kW - 12 MW</t>
  </si>
  <si>
    <t>SCHEDULE AL-TOU - CUSTOMERS</t>
  </si>
  <si>
    <t>A6-TOU Total</t>
  </si>
  <si>
    <t>RESIDENTIAL TSM UNIT COSTS</t>
  </si>
  <si>
    <t>SCHEDULE DR TOTAL</t>
  </si>
  <si>
    <t>Average Customer Costs</t>
  </si>
  <si>
    <t>OL-TOU</t>
  </si>
  <si>
    <t>Total ($/Customer-Year)</t>
  </si>
  <si>
    <t>&lt; 20 kW ($/Customer-Year)</t>
  </si>
  <si>
    <t>Sec Total</t>
  </si>
  <si>
    <t>Pri Total</t>
  </si>
  <si>
    <t xml:space="preserve">         0-5 kW</t>
  </si>
  <si>
    <t xml:space="preserve">      &gt;5-20 kW</t>
  </si>
  <si>
    <t xml:space="preserve">      &gt;20-50 kW</t>
  </si>
  <si>
    <t>&gt; 20 MW</t>
  </si>
  <si>
    <t xml:space="preserve">      Secondary</t>
  </si>
  <si>
    <t xml:space="preserve">      Primary</t>
  </si>
  <si>
    <r>
      <t xml:space="preserve">   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</si>
  <si>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 xml:space="preserve">         &lt; 20 kW</t>
  </si>
  <si>
    <t>SCHEDULE A6-TOU TSM SUMMARY</t>
  </si>
  <si>
    <t>&gt; 500 - 12 MW</t>
  </si>
  <si>
    <t>&gt; 12 MW kW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</si>
  <si>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</si>
  <si>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>SCHEDULE A6-TOU TSM COSTS</t>
  </si>
  <si>
    <t>SCHEDULE A6-TOU CUSTOMERS</t>
  </si>
  <si>
    <t>≤ 500 kW</t>
  </si>
  <si>
    <t>DG-R Total</t>
  </si>
  <si>
    <t>SCHEDULE DG-R - CUSTOMERS</t>
  </si>
  <si>
    <t>SCHEDULE DG-R TSM COSTS</t>
  </si>
  <si>
    <t>SCHEDULE DG-R TSM SUMMARY</t>
  </si>
  <si>
    <t>SCHEDULE OL-TOU TSM COSTS</t>
  </si>
  <si>
    <t>SCHEDULE OL-TOU - CUSTOMERS</t>
  </si>
  <si>
    <t>SCHEDULE OL-TOU TSM SUMMARY</t>
  </si>
  <si>
    <t>SCHEDULE AL-TOU TSM COSTS</t>
  </si>
  <si>
    <t>Trans Total</t>
  </si>
  <si>
    <t>SCHEDULE AL-TOU TSM SUMMARY</t>
  </si>
  <si>
    <t xml:space="preserve">    &gt; 500 kW - 12MW</t>
  </si>
  <si>
    <t xml:space="preserve">    &gt; 12 MW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</si>
  <si>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500 kW</t>
    </r>
  </si>
  <si>
    <t>DG_R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</si>
  <si>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20 kW</t>
    </r>
  </si>
  <si>
    <t xml:space="preserve">    &gt; 20 kW</t>
  </si>
  <si>
    <t>Customers:</t>
  </si>
  <si>
    <t xml:space="preserve">    &gt; 5 - 20 kW</t>
  </si>
  <si>
    <r>
      <t xml:space="preserve">    </t>
    </r>
    <r>
      <rPr>
        <sz val="10"/>
        <rFont val="Calibri"/>
        <family val="2"/>
      </rPr>
      <t xml:space="preserve">≤ </t>
    </r>
    <r>
      <rPr>
        <sz val="10"/>
        <rFont val="Arial"/>
        <family val="2"/>
      </rPr>
      <t>5</t>
    </r>
    <r>
      <rPr>
        <sz val="8.5"/>
        <rFont val="Arial"/>
        <family val="2"/>
      </rPr>
      <t xml:space="preserve"> </t>
    </r>
    <r>
      <rPr>
        <sz val="10"/>
        <rFont val="Arial"/>
        <family val="2"/>
      </rPr>
      <t>kW</t>
    </r>
  </si>
  <si>
    <t xml:space="preserve">    &gt; 20 - 50 kW</t>
  </si>
  <si>
    <t xml:space="preserve">    &gt; 50 kW</t>
  </si>
  <si>
    <t xml:space="preserve">      Transmission Voltage Service</t>
  </si>
  <si>
    <t>Agricultural Class Average</t>
  </si>
  <si>
    <t>Schedule UM</t>
  </si>
  <si>
    <t>Number of Lamps</t>
  </si>
  <si>
    <t>Residential Class</t>
  </si>
  <si>
    <t>Medium/Large Commercial &amp; Industrial Class</t>
  </si>
  <si>
    <t xml:space="preserve">      &gt;50 kW</t>
  </si>
  <si>
    <t>Unmetered Lighting</t>
  </si>
  <si>
    <t>TSM Components per Lamp basis</t>
  </si>
  <si>
    <t>Annualized Cost per Lamp</t>
  </si>
  <si>
    <t>Total ($/Lamp/Year)</t>
  </si>
  <si>
    <t xml:space="preserve">      Secondary Average</t>
  </si>
  <si>
    <t xml:space="preserve">      Primary Average</t>
  </si>
  <si>
    <r>
      <t xml:space="preserve">         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</si>
  <si>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         &gt; 500 - 12 MW</t>
  </si>
  <si>
    <t xml:space="preserve">            &gt; 12 MW</t>
  </si>
  <si>
    <t xml:space="preserve">      Transmission Average</t>
  </si>
  <si>
    <t>13 - 19</t>
  </si>
  <si>
    <t>20 - 25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</si>
  <si>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</si>
  <si>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Total-Agricultural Class</t>
  </si>
  <si>
    <t>MEDIUM/LARGE C&amp;I TSM SUMMARY</t>
  </si>
  <si>
    <t>Total - Medium/Large C&amp;I</t>
  </si>
  <si>
    <t>AGRICULTURAL TSM SUMMARY</t>
  </si>
  <si>
    <t>Tran Total</t>
  </si>
  <si>
    <t>SMALL COMMERCIAL TSM SUMMARY</t>
  </si>
  <si>
    <t>Small Commercial Total</t>
  </si>
  <si>
    <t>3 - 4</t>
  </si>
  <si>
    <t>5 - 6</t>
  </si>
  <si>
    <t>NON-RESIDENTIAL TSM COSTS</t>
  </si>
  <si>
    <t>AL-TOU TOTAL</t>
  </si>
  <si>
    <t>Secondary - OL-TOU Total</t>
  </si>
  <si>
    <t>Medium/Large Commercial &amp; Industrial Class Average</t>
  </si>
  <si>
    <t>AL-TOU Total</t>
  </si>
  <si>
    <t>TRANSMISSION</t>
  </si>
  <si>
    <t>DGR TOTAL</t>
  </si>
  <si>
    <t>A6-TOU TOTAL</t>
  </si>
  <si>
    <t>OL-TOU TOTAL</t>
  </si>
  <si>
    <t>Monthly</t>
  </si>
  <si>
    <t>Residential Total</t>
  </si>
  <si>
    <t>Average Annual Cost 
by Class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</si>
  <si>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 ($/Customer-Year)</t>
    </r>
  </si>
  <si>
    <t>Sec-Total</t>
  </si>
  <si>
    <t>SMALL COMMERCIAL CUSTOMERS</t>
  </si>
  <si>
    <t>RESIDENTIAL CUSTOMERS</t>
  </si>
  <si>
    <t>Residential Class Average</t>
  </si>
  <si>
    <t>Tab Descriptions</t>
  </si>
  <si>
    <t>No.</t>
  </si>
  <si>
    <t>Tab Name</t>
  </si>
  <si>
    <t>Tab Description</t>
  </si>
  <si>
    <t>Description of Tabs in Workpaper</t>
  </si>
  <si>
    <t>Marg Cust Cost Summary</t>
  </si>
  <si>
    <t>Summary of Marginal Distribution Customer Costs by Customer Class</t>
  </si>
  <si>
    <t>Marg Cust Cost by Rate Schedule</t>
  </si>
  <si>
    <t>Calculation of Marginal Distribution Customer Costs by Rate Schedule</t>
  </si>
  <si>
    <t>Inputs</t>
  </si>
  <si>
    <t>Loading Factor and Escalation Inputs used in Workpaper</t>
  </si>
  <si>
    <t>Resid Cust Fcst</t>
  </si>
  <si>
    <t>Resid TSM UC</t>
  </si>
  <si>
    <t>Residential Class Transformer, Services, and Meter Unit Costs</t>
  </si>
  <si>
    <t>Resid TSM Summary</t>
  </si>
  <si>
    <t>Residential Class Transformer, Services, and Meter Costs by Rate Schedule</t>
  </si>
  <si>
    <t>Resid Cust Cost Summary</t>
  </si>
  <si>
    <t>Sch DR TSM</t>
  </si>
  <si>
    <t>Schedule DR Transformer, Services, and Meter Summary Costs</t>
  </si>
  <si>
    <t>Small Commercial Class Transformer, Services, and Meter Summary Costs by Service Voltage Level and kW Size</t>
  </si>
  <si>
    <t>M-L C&amp;I TSM Summary</t>
  </si>
  <si>
    <t>Medium/Large Commercial and Industrial Class Transformer, Services, and Meter Summary Costs by Service Voltage Level and kW Size</t>
  </si>
  <si>
    <t>Sch OL-TOU Cust Fcst</t>
  </si>
  <si>
    <t>Sch OL-TOU TSM</t>
  </si>
  <si>
    <t>Schedule OL-TOU Transformer, Services, and Meter Costs</t>
  </si>
  <si>
    <t>Sch OL-TOU TSM Summary</t>
  </si>
  <si>
    <t>Schedule OL-TOU Transformer, Services, and Meter Summary Costs by Service Voltage Level and kW Size</t>
  </si>
  <si>
    <t>Sch OL-TOU Cust Cost Summary</t>
  </si>
  <si>
    <t>Sch AL-TOU Cust Fcst</t>
  </si>
  <si>
    <t>Sch AL-TOU TSM</t>
  </si>
  <si>
    <t>Schedule AL-TOU Transformer, Services, and Meter Costs</t>
  </si>
  <si>
    <t>Sch AL-TOU TSM Summary</t>
  </si>
  <si>
    <t>Schedule AL-TOU Transformer, Services, and Meter Summary Costs by Service Voltage Level and kW Size</t>
  </si>
  <si>
    <t>Sch AL-TOU Cust Cost Summary</t>
  </si>
  <si>
    <t>Sch DG-R Cust Fcst</t>
  </si>
  <si>
    <t>Sch DG-R TSM</t>
  </si>
  <si>
    <t>Schedule DG-R Transformer, Services, and Meter Costs</t>
  </si>
  <si>
    <t>Sch DG-R TSM Summary</t>
  </si>
  <si>
    <t>Schedule DG-R Transformer, Services, and Meter Summary Costs by Service Voltage Level and kW Size</t>
  </si>
  <si>
    <t>Sch DG-R Cust Cost Summary</t>
  </si>
  <si>
    <t>Sch A6-TOU Cust Fcst</t>
  </si>
  <si>
    <t>Sch A6-TOU TSM</t>
  </si>
  <si>
    <t>Schedule A6-TOU Transformer, Services, and Meter Costs</t>
  </si>
  <si>
    <t>Sch A6-TOU TSM Summary</t>
  </si>
  <si>
    <t>Schedule A6-TOU Transformer, Services, and Meter Summary Costs by Service Voltage Level and kW Size</t>
  </si>
  <si>
    <t>Sch A6-TOU Cust Cost Summary</t>
  </si>
  <si>
    <t>Agricultural Class Transformer, Services, and Meter Summary Costs by Service Voltage Level and kW Size</t>
  </si>
  <si>
    <t>Non-Residential TSM UC</t>
  </si>
  <si>
    <t>Non-Residential Class Transformer, Services, and Meter Unit Costs</t>
  </si>
  <si>
    <t>TSM Cap Cost Allocations</t>
  </si>
  <si>
    <t>Transformer, Services, and Meter Cost Allocations by Rate Schedules</t>
  </si>
  <si>
    <t>Distribution O&amp;M Allocations</t>
  </si>
  <si>
    <t>Electric Distribution O&amp;M Allocations by Rate Schedules</t>
  </si>
  <si>
    <t>Residential Class Transformer, Services, and Meter Costs</t>
  </si>
  <si>
    <t>Resid TSM Sum by Rate Schedule</t>
  </si>
  <si>
    <t>M-L C&amp;I Cust Cost Summary</t>
  </si>
  <si>
    <t>General Plant Loading Factor =</t>
  </si>
  <si>
    <t>(4) Input data in blue font comes from a separate source file.</t>
  </si>
  <si>
    <t>(2) Input data in blue font comes from a separate source file.</t>
  </si>
  <si>
    <t>Note:</t>
  </si>
  <si>
    <t>A&amp;G O&amp;M Non-Plant Loading Factor =</t>
  </si>
  <si>
    <t>Service RECC =</t>
  </si>
  <si>
    <t>Meter RECC  =</t>
  </si>
  <si>
    <t>Annualized TSM Cost</t>
  </si>
  <si>
    <r>
      <t>Annual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</si>
  <si>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Marginal Customer Cost Summary by Rate Schedules ($/Customer-Year)</t>
  </si>
  <si>
    <t xml:space="preserve">     associated with distribution plant excluding wild fire claims costs, as proposed by ORA and UCAN.</t>
  </si>
  <si>
    <t xml:space="preserve">     Exhibit SDG&amp;E-39, in SDG&amp;E's TY 2019 GRC Phase 1 (A.17-10-007).</t>
  </si>
  <si>
    <t xml:space="preserve">     in SDG&amp;E's TY 2019 GRC Phase 1 (A.17-10-007).</t>
  </si>
  <si>
    <t>2020 TSM Escalator =</t>
  </si>
  <si>
    <t>2020 O&amp;M Escalator =</t>
  </si>
  <si>
    <t>2020 Cust Acct/Services Escalator =</t>
  </si>
  <si>
    <t>2020 Miscellaneous Service Revenues =</t>
  </si>
  <si>
    <t>Total Forecasted 2020 Customers =</t>
  </si>
  <si>
    <t>2020 Miscellaneous Revenue per Customer =</t>
  </si>
  <si>
    <t>TOU-DR</t>
  </si>
  <si>
    <t>SCHEDULE TOU-PA - CUSTOMERS</t>
  </si>
  <si>
    <t>SCHEDULE TOU-PA TSM COSTS</t>
  </si>
  <si>
    <t>TOU-PA TOTAL</t>
  </si>
  <si>
    <t>SCHEDULE TOU-PA TSM SUMMARY</t>
  </si>
  <si>
    <t>TOU-PA Total</t>
  </si>
  <si>
    <t>RENTAL - SCHEDULE TOU-PA - 2020$</t>
  </si>
  <si>
    <t>RENTAL - SCHEDULE A6-TOU - 2020$</t>
  </si>
  <si>
    <t>RENTAL - SCHEDULE DG-R - 2020$</t>
  </si>
  <si>
    <t>RENTAL - SCHEDULE OL-TOU - 2020$</t>
  </si>
  <si>
    <t>RENTAL - RESIDENTIAL CLASS - $2020</t>
  </si>
  <si>
    <t>TOU-PA</t>
  </si>
  <si>
    <t>Schedule TOU-A</t>
  </si>
  <si>
    <t>(1) TSM Components per Lamp based on data from Street Light TSM Costs file.</t>
  </si>
  <si>
    <t>(2) Number of Lamps based on data from Street Light TSM Costs file.</t>
  </si>
  <si>
    <t>SCH TOU-A TSM COSTS</t>
  </si>
  <si>
    <t>SCHEDULE TOU-A TOTAL</t>
  </si>
  <si>
    <t>Schedule TOU-A TSM SUMMARY</t>
  </si>
  <si>
    <t>Schedule TOU-A Total</t>
  </si>
  <si>
    <t>Sch TOU-A TSM</t>
  </si>
  <si>
    <t>Sch TOU-A TSM Summary</t>
  </si>
  <si>
    <t>Sch TOU-A Cust Cost Summary</t>
  </si>
  <si>
    <t>Schedule TOU-A Transformer, Services, and Meter Costs</t>
  </si>
  <si>
    <t>Schedule TOU-A Transformer, Services, and Meter Summary Costs by Service Voltage Level and kW Size</t>
  </si>
  <si>
    <t>Sch TOU-PA TSM</t>
  </si>
  <si>
    <t>Sch TOU-PA TSM Summary</t>
  </si>
  <si>
    <t>Sch TOU-PA Cust Cost Summary</t>
  </si>
  <si>
    <t>Schedule TOU-PA Transformer, Services, and Meter Costs</t>
  </si>
  <si>
    <t>Schedule TOU-PA Transformer, Services, and Meter Summary Costs by Service Voltage Level and kW Size</t>
  </si>
  <si>
    <t>TOU-A</t>
  </si>
  <si>
    <t>(1) Transformers, Services and Meter ("TSM") costs represent the installed 2017 costs of TSM individual components for non-residential customers.</t>
  </si>
  <si>
    <t>RENTAL - STREETLIGHTING CLASS - 2020$</t>
  </si>
  <si>
    <t>RENTAL - AGRICULTURAL - 2020$</t>
  </si>
  <si>
    <t>RENTAL - SCHEDULE AL-TOU - 2020$</t>
  </si>
  <si>
    <t>RENTAL - MEDIUM/LARGE C&amp;I - 2020$</t>
  </si>
  <si>
    <t>RENTAL - SCHEDULE TOU-A - $2020</t>
  </si>
  <si>
    <t>RENTAL - SMALL COMMERCIAL - 2020$</t>
  </si>
  <si>
    <t xml:space="preserve">     of Eric Dalton, Exhibit SDG&amp;E-40, in SDG&amp;E TY 2019 GRC Phase 1 (A.17-10-007), escalated into 2020 dollars based on</t>
  </si>
  <si>
    <t xml:space="preserve">     SDG&amp;E-39, in SDG&amp;E's TY 2019 GRC Phase 1 (A.17-10-007).</t>
  </si>
  <si>
    <t xml:space="preserve">     the forecasted escalation factors in the Direct Testimony workpapers of SDG&amp;E witness Scott R. Wilder, Exhibit</t>
  </si>
  <si>
    <t>Notes:</t>
  </si>
  <si>
    <t>Adjusted O&amp;M Expenses</t>
  </si>
  <si>
    <t>Miscellaneous Service Revenue</t>
  </si>
  <si>
    <t>Miscellaneous Service Revenue Adjustment</t>
  </si>
  <si>
    <t>Working Capital Loading Factor =</t>
  </si>
  <si>
    <t>Residential Class Customer Forecast by Rate Schedule</t>
  </si>
  <si>
    <t>Small Commercial Class Customer Forecast by Rate Schedule</t>
  </si>
  <si>
    <t>Schedule OL-TOU Customer Forecast</t>
  </si>
  <si>
    <t>Schedule AL-TOU Customer Forecast</t>
  </si>
  <si>
    <t>Schedule DG-R Customer Forecast</t>
  </si>
  <si>
    <t>Schedule A6-TOU Customer Forecast</t>
  </si>
  <si>
    <t>Schedule TOU-PA Customer Forecast</t>
  </si>
  <si>
    <t>Sch TOU-PA Cust Fcst</t>
  </si>
  <si>
    <t xml:space="preserve">Customer Forecast by Customer Class Rate Schedules </t>
  </si>
  <si>
    <t>(1) Transformers, Services and Meter ("TSM") costs represent the installed 2017 costs of TSM individual components for residential customers.</t>
  </si>
  <si>
    <t>Street Lighting Class Average (Cost Per Lamp)</t>
  </si>
  <si>
    <t>Street Light Cust Cost Summary</t>
  </si>
  <si>
    <t>(1) Number of customers reflect the average number of residential customers by rate schedule in 2016.</t>
  </si>
  <si>
    <t>(1) Number of customers reflect the average number of small commercial customers by rate schedule in 2016.</t>
  </si>
  <si>
    <t>(1) Number of customers reflect the average number of Schedule OL-TOU customers in 2016.</t>
  </si>
  <si>
    <t>(1) Number of customers reflect the average number of Schedule AL-TOU customers in 2016.</t>
  </si>
  <si>
    <t>(1) Number of customers reflect the average number of Schedule DG-R customers in 2016.</t>
  </si>
  <si>
    <t>(1) Number of customers reflect the average number of Schedule A6-TOU customers in 2016.</t>
  </si>
  <si>
    <t>(1) Number of customers reflect the average number of Schedule PA customers in 2016.</t>
  </si>
  <si>
    <t>School Class Total</t>
  </si>
  <si>
    <t>Non-Lighting Total</t>
  </si>
  <si>
    <t>SCHOOL CLASS TSM SUMMARY</t>
  </si>
  <si>
    <t>RENTAL - SCHOOL CLASS - 2020$</t>
  </si>
  <si>
    <t>Total Non-Street Lighting ($/Customer-Year)</t>
  </si>
  <si>
    <t>Total Street Lighting ($/Lamp-Year)</t>
  </si>
  <si>
    <t>Non-Lighting</t>
  </si>
  <si>
    <t>School</t>
  </si>
  <si>
    <t xml:space="preserve">TSM CAPITAL COSTS ALLOCATION FOR DISTRIBUTION O&amp;M </t>
  </si>
  <si>
    <t>(TOTAL TSM CAPITAL COSTS PRIOR TO RULE 15/16 ADJUSTMENTS)</t>
  </si>
  <si>
    <t>TSM Capital Costs</t>
  </si>
  <si>
    <t>Allocation Factor</t>
  </si>
  <si>
    <t>Small Commercial</t>
  </si>
  <si>
    <t xml:space="preserve">Medium/Large Commercial/Industrial </t>
  </si>
  <si>
    <t>Trans</t>
  </si>
  <si>
    <t>DISTRIBUTION O&amp;M ALLOCATION</t>
  </si>
  <si>
    <t>TSM Capital Costs Allocator</t>
  </si>
  <si>
    <t>Cust Related Distribution O&amp;M</t>
  </si>
  <si>
    <t>A&amp;G O&amp;M Loader at</t>
  </si>
  <si>
    <t>O&amp;M per Cust</t>
  </si>
  <si>
    <t>Customers by Service Voltage Level</t>
  </si>
  <si>
    <t>O&amp;M Costs per Rate Schedule</t>
  </si>
  <si>
    <t>Average O&amp;M Costs per Customer per Rate Schedule</t>
  </si>
  <si>
    <t>Cust Related Distribution O&amp;M:</t>
  </si>
  <si>
    <t>Lighting Related Distribution O&amp;M:</t>
  </si>
  <si>
    <t>Lighting Related Distribution O&amp;M with A&amp;G applied to O&amp;M :</t>
  </si>
  <si>
    <r>
      <t xml:space="preserve">(1) </t>
    </r>
    <r>
      <rPr>
        <b/>
        <sz val="10"/>
        <rFont val="Arial"/>
        <family val="2"/>
      </rPr>
      <t>A&amp;G O&amp;M Loader</t>
    </r>
    <r>
      <rPr>
        <sz val="10"/>
        <rFont val="Arial"/>
        <family val="2"/>
      </rPr>
      <t>: based on a five-year average (2013-2017)  of administrative and general O&amp;M expenses.</t>
    </r>
  </si>
  <si>
    <r>
      <t xml:space="preserve">(2) </t>
    </r>
    <r>
      <rPr>
        <b/>
        <sz val="10"/>
        <rFont val="Arial"/>
        <family val="2"/>
      </rPr>
      <t>Cust Related Distribution O&amp;M</t>
    </r>
    <r>
      <rPr>
        <sz val="10"/>
        <rFont val="Arial"/>
        <family val="2"/>
      </rPr>
      <t>: based on 5-year average (2013-2017) of customer-related distribution O&amp;M expenses.</t>
    </r>
  </si>
  <si>
    <r>
      <t xml:space="preserve">(3) </t>
    </r>
    <r>
      <rPr>
        <b/>
        <sz val="10"/>
        <rFont val="Arial"/>
        <family val="2"/>
      </rPr>
      <t>Lighting Related Distribution O&amp;M</t>
    </r>
    <r>
      <rPr>
        <sz val="10"/>
        <rFont val="Arial"/>
        <family val="2"/>
      </rPr>
      <t>: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based on 5-year average (2013-2017) of lighting-related distribution O&amp;M expenses.</t>
    </r>
  </si>
  <si>
    <t>All Class</t>
  </si>
  <si>
    <t>Non-School</t>
  </si>
  <si>
    <t>Rule 15/16 Adjusted TSM (A)</t>
  </si>
  <si>
    <t>Unadjusted TSM (B)</t>
  </si>
  <si>
    <t>Adjustment Factor (C=A/B)</t>
  </si>
  <si>
    <t>School Class</t>
  </si>
  <si>
    <t>School Class Average</t>
  </si>
  <si>
    <t>(1) Transformers, Services and Meter ("TSM") costs represent the installed 2017 costs of TSM individual components for residential customers adjusted for the Rule 15/16 residential allowance cap of $3,241 per meter.</t>
  </si>
  <si>
    <t>(1) Transformers, Services and Meter ("TSM") costs represent the installed 2017 costs of TSM individual components for non-residential customers adjusted for the Rule 15/16 non-residential average allowance percentage.</t>
  </si>
  <si>
    <t>School Class TSM Summary</t>
  </si>
  <si>
    <t>School Class Cust Cost Summary</t>
  </si>
  <si>
    <t>School Class Transformer, Services, and Meter Costs by Rate Schedule</t>
  </si>
  <si>
    <t>School Class Marginal Distribution Customer Costs by Rate Schedule in 2020 Dollars</t>
  </si>
  <si>
    <t>Residential Class Marginal Distribution Customer Costs by Rate Schedule in 2020 Dollars</t>
  </si>
  <si>
    <t>Small Commercial Class Marginal Distribution Customer Costs by Service Voltage Level and kW Size in 2020 Dollars</t>
  </si>
  <si>
    <t>Medium/Large Commercial and Industrial Class Marginal Distribution Customer Costs by Service Voltage Level and kW Size in 2020 Dollars</t>
  </si>
  <si>
    <t>Schedule OL-TOU Marginal Distribution Customer Costs by Service Voltage Level and kW Size in 2020 Dollars</t>
  </si>
  <si>
    <t>Schedule AL-TOU Marginal Distribution Customer Costs by Service Voltage Level and kW Size in 2020 Dollars</t>
  </si>
  <si>
    <t>Schedule A6-TOU Marginal Distribution Customer Costs by Service Voltage Level and kW Size in 2020 Dollars</t>
  </si>
  <si>
    <t>Agricultural Class Marginal Distribution Customer Costs by Service Voltage Level and kW Size in 2020 Dollars</t>
  </si>
  <si>
    <t>Schedule TOU-PA Marginal Distribution Customer Costs by Service Voltage Level and kW Size in 2020 Dollars</t>
  </si>
  <si>
    <t>Street Light Class Marginal Distribution Customer Costs per Lamp in 2020 Dollars</t>
  </si>
  <si>
    <t>Schedule DG-R Marginal Distribution Customer Costs by Service Voltage Level and kW Size in 2020 Dollars</t>
  </si>
  <si>
    <t>Schedule TOU-A Marginal Distribution Customer Costs by Service Voltage Level and kW Size in 2020 Dollars</t>
  </si>
  <si>
    <t>Residential Rule 15/16 Allowance</t>
  </si>
  <si>
    <t xml:space="preserve">     average percentage of costs paid by SDG&amp;E for non-residential TSM installations.</t>
  </si>
  <si>
    <t>Non-Residential Forecasted Rule 15/16 Allowance Percentage</t>
  </si>
  <si>
    <t>Medium/Large Commercial &amp; Industrial</t>
  </si>
  <si>
    <t>Agricultural</t>
  </si>
  <si>
    <t>SCHOOL TOTAL</t>
  </si>
  <si>
    <t>SCHOOL CUSTOMER COUNT</t>
  </si>
  <si>
    <t>Medium/Large Commercial&amp; Industrial</t>
  </si>
  <si>
    <r>
      <t xml:space="preserve">(2) </t>
    </r>
    <r>
      <rPr>
        <b/>
        <sz val="10"/>
        <rFont val="Arial"/>
        <family val="2"/>
      </rPr>
      <t>Working Capital Loading Factor</t>
    </r>
    <r>
      <rPr>
        <sz val="10"/>
        <rFont val="Arial"/>
        <family val="2"/>
      </rPr>
      <t>: is the average net working capital loading factor based on recorded expenses presented</t>
    </r>
  </si>
  <si>
    <r>
      <t xml:space="preserve">(3) </t>
    </r>
    <r>
      <rPr>
        <b/>
        <sz val="10"/>
        <rFont val="Arial"/>
        <family val="2"/>
      </rPr>
      <t>TSM RECC</t>
    </r>
    <r>
      <rPr>
        <sz val="10"/>
        <rFont val="Arial"/>
        <family val="2"/>
      </rPr>
      <t>: represents the calculated annual investment amounts for TSM assets.</t>
    </r>
  </si>
  <si>
    <r>
      <t xml:space="preserve">(5) </t>
    </r>
    <r>
      <rPr>
        <b/>
        <sz val="10"/>
        <rFont val="Arial"/>
        <family val="2"/>
      </rPr>
      <t>2020 TSM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</si>
  <si>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(6) </t>
    </r>
    <r>
      <rPr>
        <b/>
        <sz val="10"/>
        <rFont val="Arial"/>
        <family val="2"/>
      </rPr>
      <t>2020 O&amp;M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</si>
  <si>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(7) </t>
    </r>
    <r>
      <rPr>
        <b/>
        <sz val="10"/>
        <rFont val="Arial"/>
        <family val="2"/>
      </rPr>
      <t>2020 Customer Acct/Services Escalator</t>
    </r>
    <r>
      <rPr>
        <sz val="10"/>
        <rFont val="Arial"/>
        <family val="2"/>
      </rPr>
      <t>: from the Direct Testimony workpapers of SDG&amp;E witness Scott R. Wilder,</t>
    </r>
  </si>
  <si>
    <r>
      <t xml:space="preserve">(8) </t>
    </r>
    <r>
      <rPr>
        <b/>
        <sz val="10"/>
        <rFont val="Arial"/>
        <family val="2"/>
      </rPr>
      <t>2020 Miscellaneous Service Revenues</t>
    </r>
    <r>
      <rPr>
        <sz val="10"/>
        <rFont val="Arial"/>
        <family val="2"/>
      </rPr>
      <t>: TY 2019 forecasted Miscellaneous Service Revenues from the Direct Testimony</t>
    </r>
  </si>
  <si>
    <r>
      <t xml:space="preserve">(9) </t>
    </r>
    <r>
      <rPr>
        <b/>
        <sz val="10"/>
        <rFont val="Arial"/>
        <family val="2"/>
      </rPr>
      <t>Rule 15/16 Allowances</t>
    </r>
    <r>
      <rPr>
        <sz val="10"/>
        <rFont val="Arial"/>
        <family val="2"/>
      </rPr>
      <t xml:space="preserve">: allowance reflects the capped allowance provided for residential TSM installations and the </t>
    </r>
  </si>
  <si>
    <t>(10) Input data in blue font comes from a separate source file.</t>
  </si>
  <si>
    <t>SAN DIEGO GAS &amp; ELECTRIC COMPANY ("SDG&amp;E")</t>
  </si>
  <si>
    <t>Transformer Real Economic Carrying Charge ("RECC") =</t>
  </si>
  <si>
    <t>TEST YEAR ("TY") 2019 GENERAL RATE CASE ("GRC") PHASE 2, ("A.") APPLICATION 19-03-002</t>
  </si>
  <si>
    <t>(3) Number of customers reflect the average number of Streetlighting customers in 2018.</t>
  </si>
  <si>
    <t>Resid TSM UC Adj</t>
  </si>
  <si>
    <t>Residential Class Transformer, Services, and Meter Unit Costs Adjusted for Rule 15/16 Allowances</t>
  </si>
  <si>
    <t>Non-Residential TSM UC Adj</t>
  </si>
  <si>
    <t>Total Customers</t>
  </si>
  <si>
    <t>TOU-M</t>
  </si>
  <si>
    <t>Sm Comm Cust Fcst</t>
  </si>
  <si>
    <t>Sm Comm TSM Summary</t>
  </si>
  <si>
    <t>Sm Comm Cust Cost Summary</t>
  </si>
  <si>
    <t>Sch TOU-M TSM</t>
  </si>
  <si>
    <t>Sch TOU-M TSM Summary</t>
  </si>
  <si>
    <t>Sch TOU-M Cust Cost Summary</t>
  </si>
  <si>
    <t>Schedule TOU-M Transformer, Services, and Meter Costs</t>
  </si>
  <si>
    <t>Schedule TOU-M Transformer, Services, and Meter Summary Costs by Service Voltage Level and kW Size</t>
  </si>
  <si>
    <t>Schedule TOU-M Marginal Distribution Customer Costs by Service Voltage Level and kW Size in 2020 Dollars</t>
  </si>
  <si>
    <t>Agric TSM Summary</t>
  </si>
  <si>
    <t>Agric Cust Cost Summary</t>
  </si>
  <si>
    <t>SCHEDULE TOU-M TSM COSTS</t>
  </si>
  <si>
    <t>Secondary TOU-M Total</t>
  </si>
  <si>
    <t>Schedule TOU-M TSM SUMMARY</t>
  </si>
  <si>
    <t>Schedule TOU-M</t>
  </si>
  <si>
    <t>Schedule TOU-M Total</t>
  </si>
  <si>
    <t>RENTAL - SCHEDULE TOU-M - $2020</t>
  </si>
  <si>
    <t xml:space="preserve">    Annualized Transformers Cost at 8.05%</t>
  </si>
  <si>
    <t xml:space="preserve">    Annualized Services Cost at 7.08%</t>
  </si>
  <si>
    <t xml:space="preserve">    Annualized Meter Cost at 10.78%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</si>
  <si>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three-year average (2016-2018) of SDG&amp;E plant expenses.</t>
    </r>
  </si>
  <si>
    <t xml:space="preserve">     in the previous two GRC Phase 1 proceedings: (a) 2016 expenses from 2019 GRC Phase I (A.17-10-007) Revised Direct</t>
  </si>
  <si>
    <t xml:space="preserve">     Testimony of Craig Gentes, Exhibit SDG&amp;E-33, Table SDG&amp;E-RCG-1; and (b) 2013 expenses from 2016 GRC Phase I </t>
  </si>
  <si>
    <t xml:space="preserve">     (A.14-11-003) Direct Testimony of Jesse S. Aragon, Exhibit SDG&amp;E-27, Table SDG&amp;E-JSA-1.</t>
  </si>
  <si>
    <r>
      <t xml:space="preserve">(4) </t>
    </r>
    <r>
      <rPr>
        <b/>
        <sz val="10"/>
        <rFont val="Arial"/>
        <family val="2"/>
      </rPr>
      <t>A&amp;G O&amp;M Non-Plant Loading Factor</t>
    </r>
    <r>
      <rPr>
        <sz val="10"/>
        <rFont val="Arial"/>
        <family val="2"/>
      </rPr>
      <t>: based on three-year average (2016-2018) of administrative and general expenses</t>
    </r>
  </si>
  <si>
    <t>MARGINAL DISTRIBUTION CUSTOMER COST WORKPAPERS FOR SCHOOL CLASSES - CHAPTER 5 (SAXE) - REBUTTAL</t>
  </si>
  <si>
    <t>Annualized Transformer Cost at 8.05%</t>
  </si>
  <si>
    <t>Annualized Services Cost at 7.08%</t>
  </si>
  <si>
    <t>Annualized Meter Cost at 10.78%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</si>
</sst>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0_);_(* \(#,##0.0000\);_(* &quot;-&quot;??_);_(@_)"/>
    <numFmt numFmtId="167" formatCode="&quot;$&quot;#,##0"/>
    <numFmt numFmtId="168" formatCode="0.000%"/>
    <numFmt numFmtId="169" formatCode="&quot;$&quot;#,##0.00"/>
    <numFmt numFmtId="170" formatCode="_(* #,##0.0_);_(* \(#,##0.0\);_(* &quot;-&quot;?_);_(@_)"/>
    <numFmt numFmtId="171" formatCode="0.0"/>
    <numFmt numFmtId="172" formatCode="_(* #,##0.000_);_(* \(#,##0.000\);_(* &quot;-&quot;??_);_(@_)"/>
    <numFmt numFmtId="173" formatCode="0.0000%"/>
  </numFmts>
  <fonts count="2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 MT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u/>
      <sz val="10"/>
      <name val="Arial"/>
      <family val="2"/>
    </font>
    <font>
      <sz val="8.5"/>
      <name val="Arial"/>
      <family val="2"/>
    </font>
    <font>
      <u val="singleAccounting"/>
      <sz val="10"/>
      <name val="Arial"/>
      <family val="2"/>
    </font>
    <font>
      <b/>
      <u/>
      <sz val="10"/>
      <name val="Arial"/>
      <family val="2"/>
    </font>
    <font>
      <b/>
      <sz val="10"/>
      <color rgb="FF0000FF"/>
      <name val="Arial"/>
      <family val="2"/>
    </font>
    <font>
      <sz val="12"/>
      <name val="Times New Roman"/>
      <family val="1"/>
    </font>
    <font>
      <sz val="10"/>
      <color rgb="FF0000FF"/>
      <name val="Arial"/>
      <family val="2"/>
    </font>
    <font>
      <b/>
      <u val="singleAccounting"/>
      <sz val="10"/>
      <name val="Arial"/>
      <family val="2"/>
    </font>
    <font>
      <b/>
      <sz val="10"/>
      <color rgb="FF333333"/>
      <name val="Arial"/>
      <family val="2"/>
    </font>
    <font>
      <b/>
      <vertAlign val="superscript"/>
      <sz val="10"/>
      <name val="Arial"/>
      <family val="2"/>
    </font>
    <font>
      <i/>
      <u/>
      <sz val="10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768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Border="1"/>
    <xf numFmtId="0" fontId="0" fillId="0" borderId="8" xfId="0" applyBorder="1"/>
    <xf numFmtId="0" fontId="0" fillId="0" borderId="0" xfId="0" applyBorder="1"/>
    <xf numFmtId="164" fontId="0" fillId="0" borderId="0" xfId="0" applyNumberFormat="1" applyBorder="1"/>
    <xf numFmtId="164" fontId="0" fillId="0" borderId="7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0" fontId="0" fillId="0" borderId="0" xfId="0" quotePrefix="1"/>
    <xf numFmtId="16" fontId="3" fillId="0" borderId="8" xfId="0" quotePrefix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quotePrefix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0" xfId="0" applyNumberFormat="1" applyFont="1" applyBorder="1"/>
    <xf numFmtId="0" fontId="3" fillId="2" borderId="5" xfId="0" quotePrefix="1" applyFont="1" applyFill="1" applyBorder="1" applyAlignment="1">
      <alignment horizontal="center"/>
    </xf>
    <xf numFmtId="0" fontId="3" fillId="0" borderId="0" xfId="0" applyFont="1" applyBorder="1"/>
    <xf numFmtId="0" fontId="0" fillId="0" borderId="5" xfId="0" applyBorder="1"/>
    <xf numFmtId="0" fontId="3" fillId="0" borderId="8" xfId="0" applyFont="1" applyBorder="1" applyAlignment="1">
      <alignment horizontal="right"/>
    </xf>
    <xf numFmtId="43" fontId="3" fillId="0" borderId="0" xfId="1" applyFont="1" applyBorder="1" applyAlignment="1">
      <alignment horizontal="center"/>
    </xf>
    <xf numFmtId="43" fontId="0" fillId="0" borderId="0" xfId="0" applyNumberFormat="1"/>
    <xf numFmtId="164" fontId="3" fillId="0" borderId="0" xfId="1" applyNumberFormat="1" applyFont="1" applyBorder="1" applyAlignment="1"/>
    <xf numFmtId="43" fontId="3" fillId="0" borderId="0" xfId="1" applyNumberFormat="1" applyFont="1" applyFill="1" applyBorder="1" applyAlignment="1">
      <alignment horizontal="center"/>
    </xf>
    <xf numFmtId="43" fontId="3" fillId="0" borderId="7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16" fontId="3" fillId="0" borderId="8" xfId="0" quotePrefix="1" applyNumberFormat="1" applyFont="1" applyFill="1" applyBorder="1" applyAlignment="1">
      <alignment horizontal="left"/>
    </xf>
    <xf numFmtId="0" fontId="3" fillId="0" borderId="8" xfId="0" quotePrefix="1" applyFont="1" applyBorder="1" applyAlignment="1">
      <alignment horizontal="left"/>
    </xf>
    <xf numFmtId="0" fontId="0" fillId="0" borderId="4" xfId="0" applyBorder="1" applyAlignment="1">
      <alignment horizontal="left"/>
    </xf>
    <xf numFmtId="43" fontId="3" fillId="0" borderId="7" xfId="1" applyFont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43" fontId="3" fillId="0" borderId="7" xfId="1" applyNumberFormat="1" applyFont="1" applyBorder="1" applyAlignment="1">
      <alignment horizontal="center"/>
    </xf>
    <xf numFmtId="164" fontId="3" fillId="0" borderId="7" xfId="1" applyNumberFormat="1" applyFont="1" applyFill="1" applyBorder="1" applyAlignment="1"/>
    <xf numFmtId="0" fontId="3" fillId="0" borderId="0" xfId="0" applyFont="1"/>
    <xf numFmtId="10" fontId="3" fillId="0" borderId="8" xfId="0" applyNumberFormat="1" applyFont="1" applyBorder="1" applyAlignment="1">
      <alignment horizontal="left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 applyFill="1"/>
    <xf numFmtId="0" fontId="0" fillId="0" borderId="0" xfId="0" applyFill="1"/>
    <xf numFmtId="6" fontId="3" fillId="2" borderId="9" xfId="0" applyNumberFormat="1" applyFont="1" applyFill="1" applyBorder="1" applyAlignment="1">
      <alignment horizontal="center"/>
    </xf>
    <xf numFmtId="6" fontId="3" fillId="0" borderId="0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4" xfId="0" applyFont="1" applyBorder="1"/>
    <xf numFmtId="164" fontId="3" fillId="0" borderId="0" xfId="1" applyNumberFormat="1" applyFont="1" applyBorder="1"/>
    <xf numFmtId="0" fontId="1" fillId="0" borderId="0" xfId="0" applyFont="1"/>
    <xf numFmtId="0" fontId="5" fillId="0" borderId="0" xfId="0" applyFont="1" applyProtection="1"/>
    <xf numFmtId="0" fontId="6" fillId="0" borderId="0" xfId="0" applyFont="1"/>
    <xf numFmtId="0" fontId="6" fillId="0" borderId="1" xfId="0" applyFont="1" applyBorder="1"/>
    <xf numFmtId="0" fontId="5" fillId="0" borderId="0" xfId="0" applyFont="1" applyAlignment="1" applyProtection="1">
      <alignment horizontal="centerContinuous"/>
    </xf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6" fontId="3" fillId="0" borderId="0" xfId="0" quotePrefix="1" applyNumberFormat="1" applyFont="1" applyFill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10" fontId="3" fillId="0" borderId="0" xfId="0" applyNumberFormat="1" applyFont="1" applyBorder="1" applyAlignment="1">
      <alignment horizontal="left"/>
    </xf>
    <xf numFmtId="43" fontId="3" fillId="0" borderId="0" xfId="0" applyNumberFormat="1" applyFont="1" applyBorder="1" applyAlignment="1">
      <alignment horizontal="left"/>
    </xf>
    <xf numFmtId="6" fontId="3" fillId="2" borderId="11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right"/>
    </xf>
    <xf numFmtId="43" fontId="3" fillId="0" borderId="0" xfId="1" applyFont="1" applyFill="1" applyBorder="1" applyAlignment="1">
      <alignment horizontal="center"/>
    </xf>
    <xf numFmtId="0" fontId="3" fillId="2" borderId="4" xfId="0" quotePrefix="1" applyFont="1" applyFill="1" applyBorder="1" applyAlignment="1">
      <alignment horizontal="center"/>
    </xf>
    <xf numFmtId="43" fontId="3" fillId="0" borderId="7" xfId="1" applyFont="1" applyFill="1" applyBorder="1" applyAlignment="1">
      <alignment horizontal="center"/>
    </xf>
    <xf numFmtId="0" fontId="0" fillId="0" borderId="7" xfId="0" applyBorder="1"/>
    <xf numFmtId="0" fontId="3" fillId="2" borderId="9" xfId="0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right"/>
    </xf>
    <xf numFmtId="0" fontId="0" fillId="0" borderId="6" xfId="0" applyBorder="1"/>
    <xf numFmtId="0" fontId="3" fillId="0" borderId="7" xfId="0" applyFont="1" applyBorder="1"/>
    <xf numFmtId="164" fontId="3" fillId="0" borderId="0" xfId="1" applyNumberFormat="1" applyFont="1" applyFill="1" applyBorder="1" applyAlignment="1"/>
    <xf numFmtId="43" fontId="3" fillId="0" borderId="0" xfId="1" applyNumberFormat="1" applyFont="1" applyFill="1" applyBorder="1" applyAlignment="1"/>
    <xf numFmtId="0" fontId="3" fillId="0" borderId="11" xfId="0" applyFont="1" applyBorder="1"/>
    <xf numFmtId="0" fontId="0" fillId="0" borderId="0" xfId="0" applyBorder="1" applyAlignment="1">
      <alignment horizontal="left"/>
    </xf>
    <xf numFmtId="0" fontId="3" fillId="0" borderId="8" xfId="0" applyFont="1" applyFill="1" applyBorder="1" applyAlignment="1">
      <alignment horizontal="left"/>
    </xf>
    <xf numFmtId="43" fontId="3" fillId="0" borderId="5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6" fontId="3" fillId="2" borderId="1" xfId="0" applyNumberFormat="1" applyFont="1" applyFill="1" applyBorder="1" applyAlignment="1">
      <alignment horizontal="centerContinuous"/>
    </xf>
    <xf numFmtId="6" fontId="3" fillId="2" borderId="2" xfId="0" applyNumberFormat="1" applyFont="1" applyFill="1" applyBorder="1" applyAlignment="1">
      <alignment horizontal="centerContinuous"/>
    </xf>
    <xf numFmtId="6" fontId="3" fillId="2" borderId="3" xfId="0" applyNumberFormat="1" applyFont="1" applyFill="1" applyBorder="1" applyAlignment="1">
      <alignment horizontal="centerContinuous"/>
    </xf>
    <xf numFmtId="0" fontId="3" fillId="0" borderId="8" xfId="4" applyFont="1" applyFill="1" applyBorder="1" applyAlignment="1">
      <alignment horizontal="left"/>
    </xf>
    <xf numFmtId="0" fontId="3" fillId="0" borderId="0" xfId="0" quotePrefix="1" applyFont="1"/>
    <xf numFmtId="0" fontId="3" fillId="0" borderId="1" xfId="0" applyFont="1" applyBorder="1"/>
    <xf numFmtId="0" fontId="3" fillId="0" borderId="16" xfId="0" applyFont="1" applyBorder="1"/>
    <xf numFmtId="164" fontId="8" fillId="0" borderId="0" xfId="1" applyNumberFormat="1" applyFont="1" applyFill="1" applyBorder="1" applyAlignment="1">
      <alignment horizontal="center"/>
    </xf>
    <xf numFmtId="166" fontId="8" fillId="0" borderId="0" xfId="1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0" fillId="0" borderId="8" xfId="0" applyFill="1" applyBorder="1"/>
    <xf numFmtId="0" fontId="3" fillId="2" borderId="1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0" fillId="0" borderId="8" xfId="0" applyNumberFormat="1" applyBorder="1"/>
    <xf numFmtId="0" fontId="3" fillId="2" borderId="6" xfId="0" quotePrefix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0" fillId="0" borderId="4" xfId="0" applyNumberFormat="1" applyBorder="1"/>
    <xf numFmtId="43" fontId="3" fillId="0" borderId="8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 indent="2"/>
    </xf>
    <xf numFmtId="164" fontId="8" fillId="0" borderId="8" xfId="1" applyNumberFormat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3" fillId="0" borderId="8" xfId="1" applyNumberFormat="1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11" xfId="0" applyBorder="1"/>
    <xf numFmtId="43" fontId="3" fillId="0" borderId="8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Fill="1" applyBorder="1" applyAlignment="1">
      <alignment horizontal="right"/>
    </xf>
    <xf numFmtId="0" fontId="3" fillId="0" borderId="11" xfId="0" applyFont="1" applyBorder="1" applyAlignment="1">
      <alignment horizontal="center"/>
    </xf>
    <xf numFmtId="16" fontId="3" fillId="0" borderId="11" xfId="0" quotePrefix="1" applyNumberFormat="1" applyFont="1" applyFill="1" applyBorder="1" applyAlignment="1">
      <alignment horizontal="center"/>
    </xf>
    <xf numFmtId="0" fontId="3" fillId="0" borderId="11" xfId="0" quotePrefix="1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0" fillId="0" borderId="9" xfId="0" applyBorder="1"/>
    <xf numFmtId="43" fontId="3" fillId="0" borderId="0" xfId="0" applyNumberFormat="1" applyFont="1"/>
    <xf numFmtId="164" fontId="3" fillId="0" borderId="2" xfId="0" applyNumberFormat="1" applyFont="1" applyBorder="1"/>
    <xf numFmtId="164" fontId="3" fillId="0" borderId="17" xfId="0" applyNumberFormat="1" applyFont="1" applyBorder="1"/>
    <xf numFmtId="0" fontId="3" fillId="0" borderId="7" xfId="0" applyFont="1" applyBorder="1" applyAlignment="1">
      <alignment horizontal="left"/>
    </xf>
    <xf numFmtId="16" fontId="3" fillId="0" borderId="7" xfId="0" quotePrefix="1" applyNumberFormat="1" applyFont="1" applyFill="1" applyBorder="1" applyAlignment="1">
      <alignment horizontal="left"/>
    </xf>
    <xf numFmtId="43" fontId="3" fillId="0" borderId="0" xfId="1" applyNumberFormat="1" applyFont="1" applyBorder="1" applyAlignment="1">
      <alignment horizontal="center"/>
    </xf>
    <xf numFmtId="6" fontId="3" fillId="2" borderId="10" xfId="0" applyNumberFormat="1" applyFont="1" applyFill="1" applyBorder="1" applyAlignment="1"/>
    <xf numFmtId="164" fontId="3" fillId="0" borderId="11" xfId="1" applyNumberFormat="1" applyFont="1" applyFill="1" applyBorder="1" applyAlignment="1">
      <alignment horizontal="center"/>
    </xf>
    <xf numFmtId="164" fontId="0" fillId="0" borderId="9" xfId="0" applyNumberFormat="1" applyBorder="1"/>
    <xf numFmtId="164" fontId="3" fillId="0" borderId="8" xfId="1" applyNumberFormat="1" applyFont="1" applyBorder="1" applyAlignment="1"/>
    <xf numFmtId="0" fontId="0" fillId="0" borderId="0" xfId="0" applyAlignment="1">
      <alignment horizontal="left" indent="1"/>
    </xf>
    <xf numFmtId="164" fontId="3" fillId="0" borderId="15" xfId="1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  <xf numFmtId="164" fontId="0" fillId="0" borderId="0" xfId="1" applyNumberFormat="1" applyFont="1" applyFill="1" applyBorder="1"/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43" fontId="3" fillId="0" borderId="8" xfId="0" applyNumberFormat="1" applyFont="1" applyBorder="1" applyAlignment="1">
      <alignment horizontal="left"/>
    </xf>
    <xf numFmtId="164" fontId="3" fillId="0" borderId="11" xfId="0" applyNumberFormat="1" applyFont="1" applyFill="1" applyBorder="1" applyAlignment="1">
      <alignment horizontal="center"/>
    </xf>
    <xf numFmtId="164" fontId="3" fillId="0" borderId="11" xfId="0" applyNumberFormat="1" applyFont="1" applyBorder="1"/>
    <xf numFmtId="0" fontId="0" fillId="3" borderId="0" xfId="0" applyFill="1"/>
    <xf numFmtId="164" fontId="3" fillId="0" borderId="0" xfId="0" applyNumberFormat="1" applyFont="1" applyFill="1" applyBorder="1"/>
    <xf numFmtId="164" fontId="0" fillId="0" borderId="11" xfId="0" applyNumberFormat="1" applyBorder="1"/>
    <xf numFmtId="164" fontId="3" fillId="6" borderId="13" xfId="1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68" fontId="0" fillId="0" borderId="0" xfId="5" applyNumberFormat="1" applyFont="1"/>
    <xf numFmtId="43" fontId="3" fillId="0" borderId="0" xfId="1" applyFont="1"/>
    <xf numFmtId="0" fontId="3" fillId="0" borderId="8" xfId="0" applyFont="1" applyFill="1" applyBorder="1" applyAlignment="1">
      <alignment horizontal="left" indent="1"/>
    </xf>
    <xf numFmtId="0" fontId="3" fillId="2" borderId="11" xfId="0" applyFont="1" applyFill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0" xfId="1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6" fontId="3" fillId="2" borderId="8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164" fontId="3" fillId="0" borderId="5" xfId="0" applyNumberFormat="1" applyFont="1" applyFill="1" applyBorder="1"/>
    <xf numFmtId="164" fontId="3" fillId="0" borderId="8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" fontId="0" fillId="0" borderId="0" xfId="0" applyNumberFormat="1"/>
    <xf numFmtId="0" fontId="3" fillId="0" borderId="9" xfId="0" applyFont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5" applyNumberFormat="1" applyFont="1" applyBorder="1"/>
    <xf numFmtId="164" fontId="3" fillId="0" borderId="6" xfId="1" applyNumberFormat="1" applyFont="1" applyFill="1" applyBorder="1" applyAlignment="1">
      <alignment horizontal="center"/>
    </xf>
    <xf numFmtId="3" fontId="3" fillId="0" borderId="8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3" fontId="3" fillId="0" borderId="11" xfId="0" applyNumberFormat="1" applyFont="1" applyFill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3" fontId="0" fillId="0" borderId="0" xfId="0" applyNumberFormat="1" applyFill="1"/>
    <xf numFmtId="0" fontId="3" fillId="2" borderId="1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8" fillId="0" borderId="4" xfId="1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right"/>
    </xf>
    <xf numFmtId="3" fontId="3" fillId="0" borderId="5" xfId="1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3" fontId="3" fillId="0" borderId="7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164" fontId="0" fillId="0" borderId="9" xfId="0" applyNumberFormat="1" applyFill="1" applyBorder="1"/>
    <xf numFmtId="164" fontId="3" fillId="0" borderId="16" xfId="0" applyNumberFormat="1" applyFont="1" applyBorder="1"/>
    <xf numFmtId="164" fontId="3" fillId="0" borderId="19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3" fillId="0" borderId="11" xfId="0" quotePrefix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164" fontId="3" fillId="0" borderId="18" xfId="0" applyNumberFormat="1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0" borderId="16" xfId="1" applyNumberFormat="1" applyFont="1" applyFill="1" applyBorder="1" applyAlignment="1">
      <alignment horizontal="center"/>
    </xf>
    <xf numFmtId="164" fontId="3" fillId="0" borderId="17" xfId="1" applyNumberFormat="1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0" fontId="0" fillId="0" borderId="2" xfId="0" applyBorder="1"/>
    <xf numFmtId="0" fontId="3" fillId="0" borderId="9" xfId="0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/>
    </xf>
    <xf numFmtId="3" fontId="3" fillId="0" borderId="2" xfId="0" applyNumberFormat="1" applyFont="1" applyBorder="1"/>
    <xf numFmtId="3" fontId="3" fillId="0" borderId="0" xfId="0" applyNumberFormat="1" applyFont="1" applyBorder="1"/>
    <xf numFmtId="3" fontId="3" fillId="0" borderId="5" xfId="0" applyNumberFormat="1" applyFont="1" applyBorder="1"/>
    <xf numFmtId="3" fontId="3" fillId="0" borderId="3" xfId="0" applyNumberFormat="1" applyFont="1" applyBorder="1"/>
    <xf numFmtId="3" fontId="3" fillId="0" borderId="7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9" xfId="0" applyNumberFormat="1" applyFont="1" applyBorder="1"/>
    <xf numFmtId="3" fontId="3" fillId="0" borderId="9" xfId="0" applyNumberFormat="1" applyFont="1" applyBorder="1" applyAlignment="1">
      <alignment horizontal="right"/>
    </xf>
    <xf numFmtId="3" fontId="3" fillId="0" borderId="1" xfId="0" applyNumberFormat="1" applyFont="1" applyBorder="1"/>
    <xf numFmtId="3" fontId="3" fillId="0" borderId="8" xfId="0" applyNumberFormat="1" applyFont="1" applyBorder="1"/>
    <xf numFmtId="3" fontId="3" fillId="0" borderId="4" xfId="0" applyNumberFormat="1" applyFont="1" applyBorder="1"/>
    <xf numFmtId="164" fontId="0" fillId="0" borderId="3" xfId="0" applyNumberFormat="1" applyBorder="1"/>
    <xf numFmtId="0" fontId="3" fillId="4" borderId="9" xfId="0" applyFont="1" applyFill="1" applyBorder="1" applyAlignment="1">
      <alignment horizontal="center"/>
    </xf>
    <xf numFmtId="0" fontId="0" fillId="0" borderId="9" xfId="0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quotePrefix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164" fontId="1" fillId="0" borderId="0" xfId="1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43" fontId="3" fillId="0" borderId="16" xfId="1" applyFont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43" fontId="3" fillId="0" borderId="7" xfId="0" applyNumberFormat="1" applyFont="1" applyBorder="1" applyAlignment="1">
      <alignment horizontal="left"/>
    </xf>
    <xf numFmtId="0" fontId="3" fillId="0" borderId="7" xfId="0" quotePrefix="1" applyFont="1" applyBorder="1" applyAlignment="1">
      <alignment horizontal="left"/>
    </xf>
    <xf numFmtId="10" fontId="3" fillId="0" borderId="7" xfId="0" applyNumberFormat="1" applyFont="1" applyBorder="1" applyAlignment="1">
      <alignment horizontal="left"/>
    </xf>
    <xf numFmtId="43" fontId="3" fillId="0" borderId="4" xfId="0" applyNumberFormat="1" applyFont="1" applyBorder="1" applyAlignment="1">
      <alignment horizontal="left"/>
    </xf>
    <xf numFmtId="43" fontId="3" fillId="0" borderId="5" xfId="0" applyNumberFormat="1" applyFont="1" applyBorder="1" applyAlignment="1">
      <alignment horizontal="left"/>
    </xf>
    <xf numFmtId="43" fontId="3" fillId="0" borderId="6" xfId="0" applyNumberFormat="1" applyFont="1" applyBorder="1" applyAlignment="1">
      <alignment horizontal="left"/>
    </xf>
    <xf numFmtId="43" fontId="3" fillId="0" borderId="8" xfId="1" applyNumberFormat="1" applyFont="1" applyFill="1" applyBorder="1" applyAlignment="1"/>
    <xf numFmtId="43" fontId="3" fillId="0" borderId="7" xfId="1" applyNumberFormat="1" applyFont="1" applyFill="1" applyBorder="1" applyAlignment="1"/>
    <xf numFmtId="43" fontId="3" fillId="0" borderId="7" xfId="1" applyNumberFormat="1" applyFont="1" applyBorder="1" applyAlignment="1">
      <alignment horizontal="right"/>
    </xf>
    <xf numFmtId="43" fontId="3" fillId="0" borderId="18" xfId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43" fontId="0" fillId="0" borderId="0" xfId="1" applyFont="1"/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11" fillId="0" borderId="0" xfId="0" applyFont="1"/>
    <xf numFmtId="164" fontId="0" fillId="0" borderId="2" xfId="0" applyNumberFormat="1" applyBorder="1"/>
    <xf numFmtId="43" fontId="3" fillId="0" borderId="5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3" fontId="0" fillId="0" borderId="0" xfId="0" applyNumberFormat="1" applyBorder="1"/>
    <xf numFmtId="164" fontId="3" fillId="0" borderId="0" xfId="1" applyNumberFormat="1" applyFont="1"/>
    <xf numFmtId="164" fontId="0" fillId="0" borderId="0" xfId="1" applyNumberFormat="1" applyFont="1" applyBorder="1"/>
    <xf numFmtId="164" fontId="13" fillId="0" borderId="0" xfId="1" applyNumberFormat="1" applyFont="1" applyBorder="1"/>
    <xf numFmtId="169" fontId="0" fillId="0" borderId="0" xfId="1" applyNumberFormat="1" applyFont="1"/>
    <xf numFmtId="169" fontId="3" fillId="6" borderId="13" xfId="1" applyNumberFormat="1" applyFont="1" applyFill="1" applyBorder="1" applyAlignment="1">
      <alignment horizontal="center"/>
    </xf>
    <xf numFmtId="169" fontId="1" fillId="0" borderId="0" xfId="1" applyNumberFormat="1" applyFont="1"/>
    <xf numFmtId="169" fontId="3" fillId="0" borderId="15" xfId="1" applyNumberFormat="1" applyFont="1" applyBorder="1"/>
    <xf numFmtId="169" fontId="0" fillId="0" borderId="15" xfId="1" applyNumberFormat="1" applyFont="1" applyBorder="1"/>
    <xf numFmtId="169" fontId="3" fillId="0" borderId="0" xfId="1" applyNumberFormat="1" applyFont="1"/>
    <xf numFmtId="164" fontId="15" fillId="0" borderId="0" xfId="1" applyNumberFormat="1" applyFont="1" applyBorder="1"/>
    <xf numFmtId="164" fontId="1" fillId="0" borderId="0" xfId="1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3" fillId="0" borderId="6" xfId="0" applyNumberFormat="1" applyFont="1" applyFill="1" applyBorder="1"/>
    <xf numFmtId="170" fontId="0" fillId="0" borderId="0" xfId="0" applyNumberFormat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0" fillId="0" borderId="0" xfId="5" applyNumberFormat="1" applyFont="1"/>
    <xf numFmtId="9" fontId="8" fillId="0" borderId="0" xfId="5" applyFont="1" applyFill="1" applyBorder="1" applyAlignment="1">
      <alignment horizontal="center"/>
    </xf>
    <xf numFmtId="3" fontId="3" fillId="0" borderId="9" xfId="1" applyNumberFormat="1" applyFont="1" applyFill="1" applyBorder="1" applyAlignment="1">
      <alignment horizontal="right"/>
    </xf>
    <xf numFmtId="164" fontId="3" fillId="5" borderId="0" xfId="1" applyNumberFormat="1" applyFont="1" applyFill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169" fontId="3" fillId="0" borderId="0" xfId="1" applyNumberFormat="1" applyFont="1" applyFill="1" applyBorder="1" applyAlignment="1">
      <alignment horizontal="center"/>
    </xf>
    <xf numFmtId="169" fontId="3" fillId="0" borderId="0" xfId="1" applyNumberFormat="1" applyFont="1" applyFill="1" applyBorder="1" applyAlignment="1">
      <alignment horizont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3" fontId="3" fillId="0" borderId="0" xfId="0" applyNumberFormat="1" applyFont="1" applyFill="1"/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1" fontId="3" fillId="0" borderId="19" xfId="0" applyNumberFormat="1" applyFont="1" applyBorder="1" applyAlignment="1">
      <alignment horizontal="right"/>
    </xf>
    <xf numFmtId="41" fontId="3" fillId="0" borderId="17" xfId="0" applyNumberFormat="1" applyFont="1" applyBorder="1" applyAlignment="1">
      <alignment horizontal="right"/>
    </xf>
    <xf numFmtId="41" fontId="3" fillId="0" borderId="8" xfId="0" applyNumberFormat="1" applyFont="1" applyBorder="1"/>
    <xf numFmtId="41" fontId="3" fillId="0" borderId="0" xfId="0" applyNumberFormat="1" applyFont="1" applyBorder="1"/>
    <xf numFmtId="41" fontId="3" fillId="0" borderId="7" xfId="0" applyNumberFormat="1" applyFont="1" applyBorder="1"/>
    <xf numFmtId="41" fontId="3" fillId="0" borderId="11" xfId="0" applyNumberFormat="1" applyFont="1" applyBorder="1"/>
    <xf numFmtId="41" fontId="3" fillId="0" borderId="4" xfId="0" applyNumberFormat="1" applyFont="1" applyBorder="1"/>
    <xf numFmtId="41" fontId="3" fillId="0" borderId="5" xfId="0" applyNumberFormat="1" applyFont="1" applyBorder="1"/>
    <xf numFmtId="41" fontId="3" fillId="0" borderId="6" xfId="0" applyNumberFormat="1" applyFont="1" applyBorder="1"/>
    <xf numFmtId="41" fontId="3" fillId="0" borderId="9" xfId="0" applyNumberFormat="1" applyFont="1" applyBorder="1"/>
    <xf numFmtId="41" fontId="3" fillId="0" borderId="16" xfId="0" applyNumberFormat="1" applyFont="1" applyBorder="1" applyAlignment="1">
      <alignment horizontal="right"/>
    </xf>
    <xf numFmtId="41" fontId="3" fillId="0" borderId="18" xfId="0" applyNumberFormat="1" applyFont="1" applyBorder="1" applyAlignment="1">
      <alignment horizontal="right"/>
    </xf>
    <xf numFmtId="41" fontId="3" fillId="0" borderId="11" xfId="0" applyNumberFormat="1" applyFont="1" applyFill="1" applyBorder="1" applyAlignment="1">
      <alignment horizontal="right"/>
    </xf>
    <xf numFmtId="41" fontId="3" fillId="0" borderId="9" xfId="0" applyNumberFormat="1" applyFont="1" applyFill="1" applyBorder="1" applyAlignment="1">
      <alignment horizontal="right"/>
    </xf>
    <xf numFmtId="41" fontId="3" fillId="0" borderId="6" xfId="0" applyNumberFormat="1" applyFont="1" applyFill="1" applyBorder="1" applyAlignment="1">
      <alignment horizontal="right"/>
    </xf>
    <xf numFmtId="43" fontId="3" fillId="0" borderId="16" xfId="1" applyNumberFormat="1" applyFont="1" applyFill="1" applyBorder="1" applyAlignment="1"/>
    <xf numFmtId="43" fontId="3" fillId="0" borderId="1" xfId="1" applyNumberFormat="1" applyFont="1" applyFill="1" applyBorder="1" applyAlignment="1"/>
    <xf numFmtId="43" fontId="3" fillId="0" borderId="4" xfId="1" applyNumberFormat="1" applyFont="1" applyFill="1" applyBorder="1" applyAlignment="1"/>
    <xf numFmtId="43" fontId="3" fillId="0" borderId="17" xfId="1" applyNumberFormat="1" applyFont="1" applyFill="1" applyBorder="1" applyAlignment="1"/>
    <xf numFmtId="43" fontId="3" fillId="0" borderId="2" xfId="1" applyNumberFormat="1" applyFont="1" applyFill="1" applyBorder="1" applyAlignment="1"/>
    <xf numFmtId="43" fontId="3" fillId="0" borderId="18" xfId="1" applyNumberFormat="1" applyFont="1" applyFill="1" applyBorder="1" applyAlignment="1"/>
    <xf numFmtId="43" fontId="3" fillId="0" borderId="3" xfId="1" applyNumberFormat="1" applyFont="1" applyFill="1" applyBorder="1" applyAlignment="1"/>
    <xf numFmtId="43" fontId="3" fillId="0" borderId="6" xfId="1" applyNumberFormat="1" applyFont="1" applyFill="1" applyBorder="1" applyAlignment="1"/>
    <xf numFmtId="41" fontId="11" fillId="0" borderId="0" xfId="0" applyNumberFormat="1" applyFont="1"/>
    <xf numFmtId="16" fontId="3" fillId="0" borderId="11" xfId="0" quotePrefix="1" applyNumberFormat="1" applyFont="1" applyBorder="1" applyAlignment="1">
      <alignment horizontal="center"/>
    </xf>
    <xf numFmtId="171" fontId="3" fillId="0" borderId="0" xfId="1" applyNumberFormat="1" applyFont="1"/>
    <xf numFmtId="0" fontId="3" fillId="0" borderId="0" xfId="0" applyFont="1" applyAlignment="1">
      <alignment horizontal="center"/>
    </xf>
    <xf numFmtId="0" fontId="3" fillId="0" borderId="10" xfId="0" applyFont="1" applyFill="1" applyBorder="1" applyAlignment="1">
      <alignment horizontal="left"/>
    </xf>
    <xf numFmtId="16" fontId="3" fillId="0" borderId="11" xfId="0" quotePrefix="1" applyNumberFormat="1" applyFont="1" applyFill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10" fontId="3" fillId="0" borderId="11" xfId="0" applyNumberFormat="1" applyFont="1" applyBorder="1" applyAlignment="1">
      <alignment horizontal="left"/>
    </xf>
    <xf numFmtId="0" fontId="3" fillId="0" borderId="11" xfId="4" applyFont="1" applyFill="1" applyBorder="1" applyAlignment="1">
      <alignment horizontal="left"/>
    </xf>
    <xf numFmtId="0" fontId="3" fillId="0" borderId="19" xfId="0" applyFont="1" applyBorder="1" applyAlignment="1">
      <alignment horizontal="left"/>
    </xf>
    <xf numFmtId="41" fontId="3" fillId="0" borderId="19" xfId="0" applyNumberFormat="1" applyFont="1" applyFill="1" applyBorder="1" applyAlignment="1">
      <alignment horizontal="right"/>
    </xf>
    <xf numFmtId="41" fontId="3" fillId="0" borderId="16" xfId="0" applyNumberFormat="1" applyFont="1" applyFill="1" applyBorder="1" applyAlignment="1">
      <alignment horizontal="right"/>
    </xf>
    <xf numFmtId="0" fontId="3" fillId="4" borderId="4" xfId="0" applyFont="1" applyFill="1" applyBorder="1" applyAlignment="1">
      <alignment horizontal="center"/>
    </xf>
    <xf numFmtId="169" fontId="3" fillId="0" borderId="0" xfId="0" applyNumberFormat="1" applyFont="1" applyFill="1" applyBorder="1"/>
    <xf numFmtId="169" fontId="3" fillId="0" borderId="18" xfId="0" applyNumberFormat="1" applyFont="1" applyBorder="1"/>
    <xf numFmtId="0" fontId="3" fillId="0" borderId="3" xfId="0" applyFont="1" applyBorder="1"/>
    <xf numFmtId="169" fontId="3" fillId="0" borderId="7" xfId="0" applyNumberFormat="1" applyFont="1" applyBorder="1"/>
    <xf numFmtId="169" fontId="3" fillId="0" borderId="6" xfId="0" applyNumberFormat="1" applyFont="1" applyBorder="1"/>
    <xf numFmtId="41" fontId="3" fillId="0" borderId="1" xfId="0" applyNumberFormat="1" applyFont="1" applyBorder="1"/>
    <xf numFmtId="41" fontId="3" fillId="0" borderId="2" xfId="0" applyNumberFormat="1" applyFont="1" applyBorder="1"/>
    <xf numFmtId="41" fontId="3" fillId="0" borderId="3" xfId="0" applyNumberFormat="1" applyFont="1" applyBorder="1"/>
    <xf numFmtId="0" fontId="3" fillId="0" borderId="0" xfId="0" applyFont="1" applyAlignment="1">
      <alignment horizontal="center"/>
    </xf>
    <xf numFmtId="9" fontId="0" fillId="0" borderId="0" xfId="5" applyFont="1"/>
    <xf numFmtId="165" fontId="0" fillId="0" borderId="0" xfId="5" applyNumberFormat="1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9" fontId="3" fillId="0" borderId="0" xfId="5" applyFont="1"/>
    <xf numFmtId="9" fontId="3" fillId="0" borderId="0" xfId="5" applyNumberFormat="1" applyFont="1"/>
    <xf numFmtId="164" fontId="17" fillId="0" borderId="0" xfId="1" applyNumberFormat="1" applyFont="1" applyFill="1" applyBorder="1" applyAlignment="1">
      <alignment horizontal="center"/>
    </xf>
    <xf numFmtId="164" fontId="17" fillId="0" borderId="8" xfId="1" applyNumberFormat="1" applyFont="1" applyFill="1" applyBorder="1" applyAlignment="1">
      <alignment horizontal="center"/>
    </xf>
    <xf numFmtId="0" fontId="18" fillId="0" borderId="0" xfId="0" applyFont="1"/>
    <xf numFmtId="43" fontId="17" fillId="0" borderId="7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centerContinuous"/>
    </xf>
    <xf numFmtId="3" fontId="17" fillId="0" borderId="8" xfId="0" applyNumberFormat="1" applyFont="1" applyFill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17" fillId="0" borderId="11" xfId="0" applyNumberFormat="1" applyFont="1" applyFill="1" applyBorder="1" applyAlignment="1">
      <alignment horizontal="right"/>
    </xf>
    <xf numFmtId="171" fontId="17" fillId="0" borderId="0" xfId="0" applyNumberFormat="1" applyFont="1"/>
    <xf numFmtId="164" fontId="17" fillId="0" borderId="8" xfId="1" applyNumberFormat="1" applyFont="1" applyFill="1" applyBorder="1" applyAlignment="1">
      <alignment horizontal="right"/>
    </xf>
    <xf numFmtId="164" fontId="17" fillId="0" borderId="0" xfId="1" applyNumberFormat="1" applyFont="1" applyFill="1" applyBorder="1" applyAlignment="1">
      <alignment horizontal="right"/>
    </xf>
    <xf numFmtId="0" fontId="0" fillId="0" borderId="3" xfId="0" applyBorder="1"/>
    <xf numFmtId="0" fontId="1" fillId="0" borderId="0" xfId="0" applyFont="1" applyBorder="1"/>
    <xf numFmtId="10" fontId="17" fillId="0" borderId="3" xfId="5" applyNumberFormat="1" applyFont="1" applyBorder="1" applyAlignment="1">
      <alignment horizontal="right"/>
    </xf>
    <xf numFmtId="0" fontId="19" fillId="0" borderId="3" xfId="0" applyFont="1" applyBorder="1"/>
    <xf numFmtId="166" fontId="17" fillId="0" borderId="7" xfId="1" applyNumberFormat="1" applyFont="1" applyBorder="1" applyAlignment="1">
      <alignment horizontal="center"/>
    </xf>
    <xf numFmtId="166" fontId="17" fillId="0" borderId="6" xfId="1" applyNumberFormat="1" applyFont="1" applyBorder="1" applyAlignment="1">
      <alignment horizontal="center"/>
    </xf>
    <xf numFmtId="164" fontId="0" fillId="0" borderId="5" xfId="5" applyNumberFormat="1" applyFont="1" applyBorder="1"/>
    <xf numFmtId="164" fontId="0" fillId="0" borderId="5" xfId="1" applyNumberFormat="1" applyFont="1" applyBorder="1"/>
    <xf numFmtId="165" fontId="0" fillId="0" borderId="5" xfId="5" applyNumberFormat="1" applyFont="1" applyBorder="1"/>
    <xf numFmtId="9" fontId="0" fillId="0" borderId="5" xfId="5" applyFont="1" applyBorder="1"/>
    <xf numFmtId="10" fontId="0" fillId="0" borderId="5" xfId="5" applyNumberFormat="1" applyFont="1" applyBorder="1"/>
    <xf numFmtId="165" fontId="0" fillId="0" borderId="6" xfId="5" applyNumberFormat="1" applyFont="1" applyBorder="1"/>
    <xf numFmtId="3" fontId="0" fillId="0" borderId="3" xfId="0" applyNumberFormat="1" applyBorder="1"/>
    <xf numFmtId="3" fontId="0" fillId="0" borderId="6" xfId="0" applyNumberFormat="1" applyBorder="1"/>
    <xf numFmtId="164" fontId="3" fillId="0" borderId="2" xfId="0" applyNumberFormat="1" applyFont="1" applyFill="1" applyBorder="1"/>
    <xf numFmtId="164" fontId="3" fillId="0" borderId="3" xfId="0" applyNumberFormat="1" applyFont="1" applyFill="1" applyBorder="1"/>
    <xf numFmtId="164" fontId="3" fillId="0" borderId="7" xfId="0" applyNumberFormat="1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165" fontId="1" fillId="0" borderId="0" xfId="5" applyNumberFormat="1" applyFont="1" applyBorder="1"/>
    <xf numFmtId="165" fontId="0" fillId="0" borderId="7" xfId="5" applyNumberFormat="1" applyFont="1" applyBorder="1"/>
    <xf numFmtId="3" fontId="17" fillId="0" borderId="8" xfId="1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horizontal="right"/>
    </xf>
    <xf numFmtId="3" fontId="17" fillId="0" borderId="11" xfId="1" applyNumberFormat="1" applyFont="1" applyFill="1" applyBorder="1" applyAlignment="1">
      <alignment horizontal="right"/>
    </xf>
    <xf numFmtId="0" fontId="0" fillId="0" borderId="7" xfId="0" applyFill="1" applyBorder="1"/>
    <xf numFmtId="0" fontId="17" fillId="0" borderId="11" xfId="0" applyFont="1" applyBorder="1" applyAlignment="1">
      <alignment horizontal="right"/>
    </xf>
    <xf numFmtId="0" fontId="17" fillId="0" borderId="8" xfId="0" applyFont="1" applyBorder="1" applyAlignment="1">
      <alignment horizontal="right"/>
    </xf>
    <xf numFmtId="0" fontId="17" fillId="0" borderId="11" xfId="0" applyFont="1" applyFill="1" applyBorder="1" applyAlignment="1">
      <alignment horizontal="center"/>
    </xf>
    <xf numFmtId="164" fontId="19" fillId="0" borderId="4" xfId="0" applyNumberFormat="1" applyFont="1" applyFill="1" applyBorder="1"/>
    <xf numFmtId="3" fontId="0" fillId="0" borderId="7" xfId="0" applyNumberFormat="1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6" fontId="17" fillId="0" borderId="0" xfId="1" applyNumberFormat="1" applyFont="1" applyBorder="1" applyAlignment="1">
      <alignment horizontal="center"/>
    </xf>
    <xf numFmtId="172" fontId="0" fillId="0" borderId="0" xfId="0" applyNumberFormat="1"/>
    <xf numFmtId="0" fontId="3" fillId="0" borderId="11" xfId="0" applyFont="1" applyFill="1" applyBorder="1" applyAlignment="1">
      <alignment horizontal="left"/>
    </xf>
    <xf numFmtId="0" fontId="3" fillId="0" borderId="9" xfId="0" applyFont="1" applyBorder="1" applyAlignment="1">
      <alignment horizontal="left"/>
    </xf>
    <xf numFmtId="164" fontId="3" fillId="7" borderId="13" xfId="1" applyNumberFormat="1" applyFont="1" applyFill="1" applyBorder="1" applyAlignment="1">
      <alignment horizontal="center" wrapText="1"/>
    </xf>
    <xf numFmtId="169" fontId="3" fillId="7" borderId="13" xfId="1" applyNumberFormat="1" applyFont="1" applyFill="1" applyBorder="1" applyAlignment="1">
      <alignment horizontal="center" wrapText="1"/>
    </xf>
    <xf numFmtId="43" fontId="20" fillId="0" borderId="7" xfId="1" applyFont="1" applyFill="1" applyBorder="1" applyAlignment="1">
      <alignment horizontal="center"/>
    </xf>
    <xf numFmtId="43" fontId="20" fillId="0" borderId="0" xfId="1" applyFont="1" applyFill="1" applyBorder="1" applyAlignment="1">
      <alignment horizontal="center"/>
    </xf>
    <xf numFmtId="43" fontId="20" fillId="0" borderId="8" xfId="1" applyFont="1" applyFill="1" applyBorder="1" applyAlignment="1">
      <alignment horizontal="center"/>
    </xf>
    <xf numFmtId="43" fontId="3" fillId="0" borderId="0" xfId="1" applyFont="1" applyFill="1" applyBorder="1" applyAlignment="1">
      <alignment horizontal="left"/>
    </xf>
    <xf numFmtId="43" fontId="3" fillId="0" borderId="8" xfId="1" applyFont="1" applyFill="1" applyBorder="1" applyAlignment="1">
      <alignment horizontal="left"/>
    </xf>
    <xf numFmtId="43" fontId="3" fillId="0" borderId="7" xfId="1" applyFont="1" applyFill="1" applyBorder="1" applyAlignment="1">
      <alignment horizontal="left"/>
    </xf>
    <xf numFmtId="169" fontId="3" fillId="0" borderId="17" xfId="0" applyNumberFormat="1" applyFont="1" applyFill="1" applyBorder="1"/>
    <xf numFmtId="169" fontId="3" fillId="0" borderId="0" xfId="0" applyNumberFormat="1" applyFont="1" applyFill="1"/>
    <xf numFmtId="169" fontId="3" fillId="0" borderId="2" xfId="0" applyNumberFormat="1" applyFont="1" applyFill="1" applyBorder="1"/>
    <xf numFmtId="169" fontId="3" fillId="0" borderId="5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right"/>
    </xf>
    <xf numFmtId="169" fontId="3" fillId="0" borderId="0" xfId="1" applyNumberFormat="1" applyFont="1" applyFill="1" applyBorder="1"/>
    <xf numFmtId="10" fontId="17" fillId="0" borderId="7" xfId="5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0" fontId="17" fillId="0" borderId="6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17" fillId="0" borderId="1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3" fontId="1" fillId="0" borderId="0" xfId="1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164" fontId="13" fillId="0" borderId="1" xfId="1" applyNumberFormat="1" applyFont="1" applyBorder="1" applyAlignment="1">
      <alignment horizontal="center"/>
    </xf>
    <xf numFmtId="164" fontId="13" fillId="0" borderId="2" xfId="1" applyNumberFormat="1" applyFont="1" applyBorder="1" applyAlignment="1">
      <alignment horizontal="center"/>
    </xf>
    <xf numFmtId="164" fontId="13" fillId="0" borderId="3" xfId="1" applyNumberFormat="1" applyFont="1" applyBorder="1" applyAlignment="1">
      <alignment horizontal="center"/>
    </xf>
    <xf numFmtId="164" fontId="13" fillId="0" borderId="8" xfId="1" applyNumberFormat="1" applyFont="1" applyBorder="1" applyAlignment="1">
      <alignment horizontal="center"/>
    </xf>
    <xf numFmtId="164" fontId="13" fillId="0" borderId="7" xfId="1" applyNumberFormat="1" applyFont="1" applyBorder="1" applyAlignment="1">
      <alignment horizontal="center"/>
    </xf>
    <xf numFmtId="164" fontId="0" fillId="0" borderId="8" xfId="1" applyNumberFormat="1" applyFont="1" applyBorder="1"/>
    <xf numFmtId="164" fontId="0" fillId="0" borderId="7" xfId="1" applyNumberFormat="1" applyFont="1" applyBorder="1"/>
    <xf numFmtId="164" fontId="13" fillId="0" borderId="8" xfId="1" applyNumberFormat="1" applyFont="1" applyBorder="1"/>
    <xf numFmtId="164" fontId="13" fillId="0" borderId="7" xfId="1" applyNumberFormat="1" applyFont="1" applyBorder="1"/>
    <xf numFmtId="164" fontId="0" fillId="0" borderId="4" xfId="1" applyNumberFormat="1" applyFont="1" applyBorder="1"/>
    <xf numFmtId="164" fontId="0" fillId="0" borderId="6" xfId="1" applyNumberFormat="1" applyFont="1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5" fillId="0" borderId="7" xfId="1" applyNumberFormat="1" applyFont="1" applyBorder="1"/>
    <xf numFmtId="3" fontId="0" fillId="0" borderId="0" xfId="0" applyNumberFormat="1" applyBorder="1"/>
    <xf numFmtId="3" fontId="13" fillId="0" borderId="0" xfId="0" applyNumberFormat="1" applyFont="1" applyBorder="1"/>
    <xf numFmtId="3" fontId="0" fillId="0" borderId="5" xfId="0" applyNumberFormat="1" applyBorder="1"/>
    <xf numFmtId="0" fontId="1" fillId="0" borderId="0" xfId="0" applyFont="1" applyFill="1"/>
    <xf numFmtId="43" fontId="3" fillId="0" borderId="0" xfId="0" applyNumberFormat="1" applyFont="1" applyFill="1"/>
    <xf numFmtId="43" fontId="11" fillId="0" borderId="0" xfId="1" applyFont="1"/>
    <xf numFmtId="43" fontId="0" fillId="0" borderId="0" xfId="1" applyNumberFormat="1" applyFont="1"/>
    <xf numFmtId="164" fontId="1" fillId="0" borderId="7" xfId="1" applyNumberFormat="1" applyFont="1" applyBorder="1"/>
    <xf numFmtId="164" fontId="1" fillId="0" borderId="6" xfId="1" applyNumberFormat="1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11" fillId="0" borderId="0" xfId="1" applyNumberFormat="1" applyFont="1"/>
    <xf numFmtId="0" fontId="3" fillId="0" borderId="0" xfId="0" quotePrefix="1" applyFont="1" applyFill="1" applyBorder="1" applyAlignment="1">
      <alignment horizontal="left"/>
    </xf>
    <xf numFmtId="0" fontId="3" fillId="0" borderId="8" xfId="0" quotePrefix="1" applyFont="1" applyFill="1" applyBorder="1" applyAlignment="1">
      <alignment horizontal="left"/>
    </xf>
    <xf numFmtId="0" fontId="3" fillId="0" borderId="7" xfId="0" quotePrefix="1" applyFont="1" applyFill="1" applyBorder="1" applyAlignment="1">
      <alignment horizontal="left"/>
    </xf>
    <xf numFmtId="10" fontId="3" fillId="0" borderId="0" xfId="0" applyNumberFormat="1" applyFont="1" applyFill="1" applyBorder="1" applyAlignment="1">
      <alignment horizontal="left"/>
    </xf>
    <xf numFmtId="10" fontId="3" fillId="0" borderId="8" xfId="0" applyNumberFormat="1" applyFont="1" applyFill="1" applyBorder="1" applyAlignment="1">
      <alignment horizontal="left"/>
    </xf>
    <xf numFmtId="10" fontId="3" fillId="0" borderId="7" xfId="0" applyNumberFormat="1" applyFont="1" applyFill="1" applyBorder="1" applyAlignment="1">
      <alignment horizontal="left"/>
    </xf>
    <xf numFmtId="43" fontId="3" fillId="0" borderId="5" xfId="0" applyNumberFormat="1" applyFont="1" applyFill="1" applyBorder="1" applyAlignment="1">
      <alignment horizontal="left"/>
    </xf>
    <xf numFmtId="43" fontId="3" fillId="0" borderId="4" xfId="0" applyNumberFormat="1" applyFont="1" applyFill="1" applyBorder="1" applyAlignment="1">
      <alignment horizontal="left"/>
    </xf>
    <xf numFmtId="43" fontId="3" fillId="0" borderId="6" xfId="0" applyNumberFormat="1" applyFont="1" applyFill="1" applyBorder="1" applyAlignment="1">
      <alignment horizontal="left"/>
    </xf>
    <xf numFmtId="164" fontId="17" fillId="0" borderId="7" xfId="1" applyNumberFormat="1" applyFont="1" applyFill="1" applyBorder="1" applyAlignment="1">
      <alignment horizontal="center"/>
    </xf>
    <xf numFmtId="43" fontId="3" fillId="0" borderId="0" xfId="0" quotePrefix="1" applyNumberFormat="1" applyFont="1" applyFill="1" applyBorder="1" applyAlignment="1">
      <alignment horizontal="left"/>
    </xf>
    <xf numFmtId="169" fontId="3" fillId="7" borderId="20" xfId="1" applyNumberFormat="1" applyFont="1" applyFill="1" applyBorder="1" applyAlignment="1"/>
    <xf numFmtId="169" fontId="3" fillId="7" borderId="22" xfId="1" applyNumberFormat="1" applyFont="1" applyFill="1" applyBorder="1" applyAlignment="1"/>
    <xf numFmtId="169" fontId="3" fillId="7" borderId="24" xfId="1" applyNumberFormat="1" applyFont="1" applyFill="1" applyBorder="1" applyAlignment="1"/>
    <xf numFmtId="41" fontId="0" fillId="0" borderId="0" xfId="0" applyNumberFormat="1"/>
    <xf numFmtId="43" fontId="20" fillId="0" borderId="0" xfId="1" applyFont="1" applyBorder="1" applyAlignment="1">
      <alignment horizontal="center"/>
    </xf>
    <xf numFmtId="43" fontId="20" fillId="0" borderId="8" xfId="1" applyFont="1" applyBorder="1" applyAlignment="1">
      <alignment horizontal="center"/>
    </xf>
    <xf numFmtId="43" fontId="20" fillId="0" borderId="7" xfId="1" applyFont="1" applyBorder="1" applyAlignment="1">
      <alignment horizontal="center"/>
    </xf>
    <xf numFmtId="41" fontId="11" fillId="0" borderId="0" xfId="0" applyNumberFormat="1" applyFont="1" applyAlignment="1">
      <alignment horizontal="center"/>
    </xf>
    <xf numFmtId="41" fontId="11" fillId="0" borderId="0" xfId="0" applyNumberFormat="1" applyFont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9" fontId="21" fillId="0" borderId="0" xfId="5" applyNumberFormat="1" applyFont="1" applyFill="1" applyBorder="1" applyAlignment="1">
      <alignment horizontal="right"/>
    </xf>
    <xf numFmtId="167" fontId="17" fillId="0" borderId="3" xfId="5" applyNumberFormat="1" applyFont="1" applyFill="1" applyBorder="1" applyAlignment="1">
      <alignment horizontal="right"/>
    </xf>
    <xf numFmtId="9" fontId="17" fillId="0" borderId="6" xfId="5" applyFont="1" applyFill="1" applyBorder="1" applyAlignment="1">
      <alignment horizontal="right"/>
    </xf>
    <xf numFmtId="164" fontId="17" fillId="0" borderId="0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17" fillId="0" borderId="7" xfId="5" applyNumberFormat="1" applyFont="1" applyBorder="1" applyAlignment="1">
      <alignment horizontal="right"/>
    </xf>
    <xf numFmtId="9" fontId="0" fillId="0" borderId="0" xfId="0" applyNumberFormat="1" applyBorder="1"/>
    <xf numFmtId="9" fontId="0" fillId="0" borderId="0" xfId="5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right"/>
    </xf>
    <xf numFmtId="3" fontId="9" fillId="0" borderId="17" xfId="1" applyNumberFormat="1" applyFont="1" applyFill="1" applyBorder="1" applyAlignment="1">
      <alignment horizontal="right"/>
    </xf>
    <xf numFmtId="3" fontId="9" fillId="0" borderId="19" xfId="1" applyNumberFormat="1" applyFont="1" applyFill="1" applyBorder="1" applyAlignment="1">
      <alignment horizontal="right"/>
    </xf>
    <xf numFmtId="3" fontId="9" fillId="0" borderId="18" xfId="1" applyNumberFormat="1" applyFont="1" applyFill="1" applyBorder="1" applyAlignment="1">
      <alignment horizontal="right"/>
    </xf>
    <xf numFmtId="3" fontId="0" fillId="0" borderId="11" xfId="0" applyNumberFormat="1" applyBorder="1"/>
    <xf numFmtId="3" fontId="0" fillId="0" borderId="11" xfId="0" applyNumberFormat="1" applyFill="1" applyBorder="1"/>
    <xf numFmtId="3" fontId="0" fillId="0" borderId="19" xfId="0" applyNumberFormat="1" applyBorder="1"/>
    <xf numFmtId="3" fontId="3" fillId="0" borderId="19" xfId="0" applyNumberFormat="1" applyFont="1" applyBorder="1"/>
    <xf numFmtId="41" fontId="0" fillId="0" borderId="0" xfId="0" applyNumberFormat="1" applyBorder="1"/>
    <xf numFmtId="0" fontId="3" fillId="0" borderId="0" xfId="0" applyFont="1" applyFill="1" applyBorder="1"/>
    <xf numFmtId="14" fontId="3" fillId="0" borderId="0" xfId="0" applyNumberFormat="1" applyFont="1" applyFill="1" applyAlignment="1">
      <alignment horizontal="center"/>
    </xf>
    <xf numFmtId="165" fontId="3" fillId="0" borderId="0" xfId="5" applyNumberFormat="1" applyFont="1" applyFill="1"/>
    <xf numFmtId="43" fontId="3" fillId="0" borderId="0" xfId="1" applyFont="1" applyFill="1"/>
    <xf numFmtId="40" fontId="3" fillId="0" borderId="0" xfId="0" applyNumberFormat="1" applyFont="1" applyFill="1"/>
    <xf numFmtId="9" fontId="3" fillId="0" borderId="0" xfId="5" applyFont="1" applyFill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left"/>
    </xf>
    <xf numFmtId="164" fontId="15" fillId="0" borderId="0" xfId="0" applyNumberFormat="1" applyFont="1"/>
    <xf numFmtId="0" fontId="3" fillId="0" borderId="19" xfId="0" applyFont="1" applyBorder="1"/>
    <xf numFmtId="0" fontId="0" fillId="0" borderId="16" xfId="0" applyBorder="1"/>
    <xf numFmtId="0" fontId="0" fillId="0" borderId="17" xfId="0" applyBorder="1"/>
    <xf numFmtId="43" fontId="3" fillId="0" borderId="18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3" fillId="2" borderId="0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43" fontId="17" fillId="0" borderId="0" xfId="1" applyFont="1" applyBorder="1" applyAlignment="1">
      <alignment horizontal="center"/>
    </xf>
    <xf numFmtId="6" fontId="2" fillId="0" borderId="0" xfId="0" applyNumberFormat="1" applyFont="1" applyBorder="1" applyAlignment="1"/>
    <xf numFmtId="6" fontId="2" fillId="0" borderId="0" xfId="0" applyNumberFormat="1" applyFont="1" applyBorder="1" applyAlignment="1">
      <alignment horizontal="center"/>
    </xf>
    <xf numFmtId="164" fontId="3" fillId="0" borderId="11" xfId="1" applyNumberFormat="1" applyFont="1" applyBorder="1"/>
    <xf numFmtId="164" fontId="3" fillId="0" borderId="7" xfId="1" applyNumberFormat="1" applyFont="1" applyBorder="1"/>
    <xf numFmtId="10" fontId="3" fillId="0" borderId="9" xfId="5" applyNumberFormat="1" applyFont="1" applyBorder="1"/>
    <xf numFmtId="10" fontId="3" fillId="0" borderId="6" xfId="5" applyNumberFormat="1" applyFont="1" applyBorder="1"/>
    <xf numFmtId="6" fontId="3" fillId="0" borderId="0" xfId="0" applyNumberFormat="1" applyFont="1" applyFill="1" applyBorder="1" applyAlignment="1"/>
    <xf numFmtId="164" fontId="3" fillId="0" borderId="1" xfId="1" applyNumberFormat="1" applyFont="1" applyBorder="1"/>
    <xf numFmtId="164" fontId="3" fillId="0" borderId="3" xfId="1" applyNumberFormat="1" applyFont="1" applyBorder="1"/>
    <xf numFmtId="164" fontId="3" fillId="0" borderId="10" xfId="1" applyNumberFormat="1" applyFont="1" applyBorder="1"/>
    <xf numFmtId="10" fontId="3" fillId="0" borderId="4" xfId="5" applyNumberFormat="1" applyFont="1" applyBorder="1"/>
    <xf numFmtId="164" fontId="3" fillId="0" borderId="2" xfId="1" applyNumberFormat="1" applyFont="1" applyBorder="1"/>
    <xf numFmtId="164" fontId="3" fillId="0" borderId="3" xfId="1" applyNumberFormat="1" applyFont="1" applyFill="1" applyBorder="1"/>
    <xf numFmtId="164" fontId="3" fillId="0" borderId="3" xfId="0" applyNumberFormat="1" applyFont="1" applyBorder="1"/>
    <xf numFmtId="10" fontId="3" fillId="0" borderId="5" xfId="5" applyNumberFormat="1" applyFont="1" applyBorder="1"/>
    <xf numFmtId="10" fontId="3" fillId="0" borderId="0" xfId="5" applyNumberFormat="1" applyFont="1" applyBorder="1"/>
    <xf numFmtId="6" fontId="3" fillId="2" borderId="7" xfId="0" applyNumberFormat="1" applyFont="1" applyFill="1" applyBorder="1" applyAlignment="1"/>
    <xf numFmtId="164" fontId="3" fillId="0" borderId="1" xfId="0" applyNumberFormat="1" applyFont="1" applyBorder="1"/>
    <xf numFmtId="0" fontId="3" fillId="0" borderId="9" xfId="0" applyFont="1" applyBorder="1"/>
    <xf numFmtId="6" fontId="3" fillId="2" borderId="3" xfId="0" applyNumberFormat="1" applyFont="1" applyFill="1" applyBorder="1" applyAlignment="1">
      <alignment horizontal="right"/>
    </xf>
    <xf numFmtId="6" fontId="3" fillId="2" borderId="11" xfId="0" applyNumberFormat="1" applyFont="1" applyFill="1" applyBorder="1" applyAlignment="1"/>
    <xf numFmtId="164" fontId="3" fillId="0" borderId="7" xfId="0" applyNumberFormat="1" applyFont="1" applyBorder="1"/>
    <xf numFmtId="10" fontId="3" fillId="0" borderId="0" xfId="5" applyNumberFormat="1" applyFont="1" applyFill="1" applyBorder="1" applyAlignment="1">
      <alignment horizontal="right"/>
    </xf>
    <xf numFmtId="10" fontId="3" fillId="0" borderId="8" xfId="5" applyNumberFormat="1" applyFont="1" applyFill="1" applyBorder="1" applyAlignment="1">
      <alignment horizontal="right"/>
    </xf>
    <xf numFmtId="10" fontId="3" fillId="0" borderId="7" xfId="5" applyNumberFormat="1" applyFont="1" applyFill="1" applyBorder="1" applyAlignment="1">
      <alignment horizontal="right"/>
    </xf>
    <xf numFmtId="10" fontId="3" fillId="0" borderId="11" xfId="5" applyNumberFormat="1" applyFont="1" applyFill="1" applyBorder="1" applyAlignment="1">
      <alignment horizontal="right"/>
    </xf>
    <xf numFmtId="168" fontId="3" fillId="0" borderId="7" xfId="5" applyNumberFormat="1" applyFont="1" applyFill="1" applyBorder="1" applyAlignment="1">
      <alignment horizontal="right"/>
    </xf>
    <xf numFmtId="173" fontId="3" fillId="0" borderId="7" xfId="5" applyNumberFormat="1" applyFont="1" applyFill="1" applyBorder="1" applyAlignment="1">
      <alignment horizontal="right"/>
    </xf>
    <xf numFmtId="10" fontId="3" fillId="0" borderId="7" xfId="0" applyNumberFormat="1" applyFont="1" applyBorder="1" applyAlignment="1">
      <alignment horizontal="right"/>
    </xf>
    <xf numFmtId="10" fontId="3" fillId="0" borderId="0" xfId="5" applyNumberFormat="1" applyFont="1" applyFill="1" applyBorder="1" applyAlignment="1">
      <alignment horizontal="center"/>
    </xf>
    <xf numFmtId="173" fontId="3" fillId="0" borderId="0" xfId="5" applyNumberFormat="1" applyFont="1" applyFill="1" applyBorder="1" applyAlignment="1">
      <alignment horizontal="center"/>
    </xf>
    <xf numFmtId="10" fontId="3" fillId="0" borderId="8" xfId="5" applyNumberFormat="1" applyFont="1" applyFill="1" applyBorder="1" applyAlignment="1">
      <alignment horizontal="center"/>
    </xf>
    <xf numFmtId="10" fontId="3" fillId="0" borderId="7" xfId="5" applyNumberFormat="1" applyFont="1" applyFill="1" applyBorder="1" applyAlignment="1">
      <alignment horizontal="center"/>
    </xf>
    <xf numFmtId="10" fontId="3" fillId="0" borderId="11" xfId="5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73" fontId="3" fillId="0" borderId="11" xfId="5" applyNumberFormat="1" applyFont="1" applyFill="1" applyBorder="1" applyAlignment="1">
      <alignment horizontal="right"/>
    </xf>
    <xf numFmtId="173" fontId="3" fillId="0" borderId="7" xfId="0" applyNumberFormat="1" applyFont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23" fillId="0" borderId="0" xfId="0" applyFont="1" applyFill="1" applyAlignment="1">
      <alignment horizontal="center"/>
    </xf>
    <xf numFmtId="164" fontId="3" fillId="0" borderId="7" xfId="0" applyNumberFormat="1" applyFont="1" applyBorder="1" applyAlignment="1">
      <alignment horizontal="right"/>
    </xf>
    <xf numFmtId="0" fontId="0" fillId="0" borderId="7" xfId="0" applyBorder="1" applyAlignment="1">
      <alignment horizontal="right"/>
    </xf>
    <xf numFmtId="10" fontId="21" fillId="0" borderId="8" xfId="0" applyNumberFormat="1" applyFont="1" applyFill="1" applyBorder="1" applyAlignment="1">
      <alignment horizontal="left"/>
    </xf>
    <xf numFmtId="164" fontId="0" fillId="0" borderId="7" xfId="0" applyNumberFormat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43" fontId="3" fillId="0" borderId="8" xfId="1" applyFont="1" applyFill="1" applyBorder="1" applyAlignment="1">
      <alignment horizontal="right"/>
    </xf>
    <xf numFmtId="43" fontId="3" fillId="0" borderId="7" xfId="1" applyFont="1" applyFill="1" applyBorder="1" applyAlignment="1">
      <alignment horizontal="right"/>
    </xf>
    <xf numFmtId="43" fontId="3" fillId="0" borderId="11" xfId="1" applyFont="1" applyFill="1" applyBorder="1" applyAlignment="1">
      <alignment horizontal="right"/>
    </xf>
    <xf numFmtId="43" fontId="3" fillId="0" borderId="7" xfId="1" applyNumberFormat="1" applyFont="1" applyFill="1" applyBorder="1" applyAlignment="1">
      <alignment horizontal="right"/>
    </xf>
    <xf numFmtId="43" fontId="3" fillId="0" borderId="11" xfId="1" applyNumberFormat="1" applyFont="1" applyFill="1" applyBorder="1" applyAlignment="1">
      <alignment horizontal="center"/>
    </xf>
    <xf numFmtId="43" fontId="3" fillId="0" borderId="11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43" fontId="3" fillId="0" borderId="8" xfId="0" applyNumberFormat="1" applyFont="1" applyBorder="1"/>
    <xf numFmtId="43" fontId="3" fillId="0" borderId="7" xfId="0" applyNumberFormat="1" applyFont="1" applyBorder="1"/>
    <xf numFmtId="43" fontId="3" fillId="0" borderId="8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3" fontId="3" fillId="0" borderId="11" xfId="0" applyNumberFormat="1" applyFont="1" applyBorder="1"/>
    <xf numFmtId="43" fontId="3" fillId="0" borderId="0" xfId="0" applyNumberFormat="1" applyFont="1" applyBorder="1"/>
    <xf numFmtId="164" fontId="3" fillId="0" borderId="4" xfId="0" applyNumberFormat="1" applyFont="1" applyBorder="1"/>
    <xf numFmtId="164" fontId="3" fillId="0" borderId="6" xfId="0" applyNumberFormat="1" applyFont="1" applyBorder="1"/>
    <xf numFmtId="164" fontId="3" fillId="0" borderId="9" xfId="0" applyNumberFormat="1" applyFont="1" applyBorder="1"/>
    <xf numFmtId="0" fontId="3" fillId="0" borderId="4" xfId="0" applyFont="1" applyFill="1" applyBorder="1"/>
    <xf numFmtId="43" fontId="3" fillId="0" borderId="5" xfId="1" applyNumberFormat="1" applyFont="1" applyFill="1" applyBorder="1" applyAlignment="1">
      <alignment horizontal="center"/>
    </xf>
    <xf numFmtId="168" fontId="3" fillId="0" borderId="9" xfId="5" applyNumberFormat="1" applyFont="1" applyBorder="1"/>
    <xf numFmtId="173" fontId="3" fillId="0" borderId="9" xfId="5" applyNumberFormat="1" applyFont="1" applyBorder="1"/>
    <xf numFmtId="168" fontId="3" fillId="0" borderId="6" xfId="5" applyNumberFormat="1" applyFont="1" applyBorder="1"/>
    <xf numFmtId="168" fontId="3" fillId="0" borderId="4" xfId="5" applyNumberFormat="1" applyFont="1" applyBorder="1"/>
    <xf numFmtId="173" fontId="3" fillId="0" borderId="4" xfId="5" applyNumberFormat="1" applyFont="1" applyBorder="1"/>
    <xf numFmtId="173" fontId="3" fillId="0" borderId="0" xfId="5" applyNumberFormat="1" applyFont="1" applyFill="1" applyBorder="1" applyAlignment="1">
      <alignment horizontal="right"/>
    </xf>
    <xf numFmtId="168" fontId="3" fillId="0" borderId="11" xfId="5" applyNumberFormat="1" applyFont="1" applyFill="1" applyBorder="1" applyAlignment="1">
      <alignment horizontal="right"/>
    </xf>
    <xf numFmtId="168" fontId="3" fillId="0" borderId="8" xfId="5" applyNumberFormat="1" applyFont="1" applyFill="1" applyBorder="1" applyAlignment="1">
      <alignment horizontal="right"/>
    </xf>
    <xf numFmtId="173" fontId="3" fillId="0" borderId="8" xfId="5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3" fontId="3" fillId="0" borderId="18" xfId="0" applyNumberFormat="1" applyFont="1" applyFill="1" applyBorder="1"/>
    <xf numFmtId="0" fontId="0" fillId="8" borderId="1" xfId="0" applyFill="1" applyBorder="1"/>
    <xf numFmtId="6" fontId="3" fillId="8" borderId="10" xfId="0" applyNumberFormat="1" applyFont="1" applyFill="1" applyBorder="1" applyAlignment="1">
      <alignment horizontal="center"/>
    </xf>
    <xf numFmtId="0" fontId="0" fillId="8" borderId="8" xfId="0" applyFill="1" applyBorder="1"/>
    <xf numFmtId="6" fontId="3" fillId="8" borderId="9" xfId="0" applyNumberFormat="1" applyFont="1" applyFill="1" applyBorder="1" applyAlignment="1">
      <alignment horizontal="center"/>
    </xf>
    <xf numFmtId="6" fontId="3" fillId="8" borderId="8" xfId="0" applyNumberFormat="1" applyFont="1" applyFill="1" applyBorder="1" applyAlignment="1">
      <alignment horizontal="right"/>
    </xf>
    <xf numFmtId="0" fontId="3" fillId="8" borderId="4" xfId="0" applyFont="1" applyFill="1" applyBorder="1" applyAlignment="1">
      <alignment horizontal="right"/>
    </xf>
    <xf numFmtId="10" fontId="3" fillId="8" borderId="19" xfId="5" applyNumberFormat="1" applyFont="1" applyFill="1" applyBorder="1"/>
    <xf numFmtId="164" fontId="3" fillId="8" borderId="10" xfId="1" applyNumberFormat="1" applyFont="1" applyFill="1" applyBorder="1"/>
    <xf numFmtId="164" fontId="3" fillId="8" borderId="11" xfId="1" applyNumberFormat="1" applyFont="1" applyFill="1" applyBorder="1"/>
    <xf numFmtId="0" fontId="3" fillId="0" borderId="1" xfId="0" applyFont="1" applyFill="1" applyBorder="1"/>
    <xf numFmtId="43" fontId="3" fillId="0" borderId="2" xfId="0" applyNumberFormat="1" applyFont="1" applyFill="1" applyBorder="1"/>
    <xf numFmtId="0" fontId="3" fillId="0" borderId="3" xfId="0" applyFont="1" applyFill="1" applyBorder="1"/>
    <xf numFmtId="169" fontId="3" fillId="0" borderId="0" xfId="0" applyNumberFormat="1" applyFont="1"/>
    <xf numFmtId="43" fontId="17" fillId="0" borderId="7" xfId="1" applyFont="1" applyBorder="1" applyAlignment="1">
      <alignment horizontal="center"/>
    </xf>
    <xf numFmtId="169" fontId="21" fillId="0" borderId="6" xfId="5" applyNumberFormat="1" applyFont="1" applyFill="1" applyBorder="1" applyAlignment="1">
      <alignment horizontal="right"/>
    </xf>
    <xf numFmtId="0" fontId="3" fillId="0" borderId="8" xfId="4" applyFont="1" applyFill="1" applyBorder="1" applyAlignment="1">
      <alignment horizontal="left" indent="1"/>
    </xf>
    <xf numFmtId="43" fontId="17" fillId="0" borderId="8" xfId="1" applyNumberFormat="1" applyFont="1" applyFill="1" applyBorder="1" applyAlignment="1"/>
    <xf numFmtId="43" fontId="17" fillId="0" borderId="0" xfId="1" applyNumberFormat="1" applyFont="1" applyFill="1" applyBorder="1" applyAlignment="1"/>
    <xf numFmtId="43" fontId="17" fillId="0" borderId="7" xfId="1" applyNumberFormat="1" applyFont="1" applyFill="1" applyBorder="1" applyAlignment="1"/>
    <xf numFmtId="43" fontId="17" fillId="0" borderId="8" xfId="1" applyNumberFormat="1" applyFont="1" applyBorder="1" applyAlignment="1">
      <alignment horizontal="right"/>
    </xf>
    <xf numFmtId="43" fontId="17" fillId="0" borderId="0" xfId="1" applyNumberFormat="1" applyFont="1" applyBorder="1" applyAlignment="1">
      <alignment horizontal="right"/>
    </xf>
    <xf numFmtId="43" fontId="17" fillId="0" borderId="8" xfId="1" applyFont="1" applyBorder="1" applyAlignment="1">
      <alignment horizontal="center"/>
    </xf>
    <xf numFmtId="43" fontId="17" fillId="0" borderId="7" xfId="1" applyNumberFormat="1" applyFont="1" applyBorder="1" applyAlignment="1">
      <alignment horizontal="right"/>
    </xf>
    <xf numFmtId="43" fontId="17" fillId="0" borderId="8" xfId="1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/>
    </xf>
    <xf numFmtId="3" fontId="17" fillId="0" borderId="7" xfId="5" applyNumberFormat="1" applyFont="1" applyFill="1" applyBorder="1" applyAlignment="1">
      <alignment horizontal="right"/>
    </xf>
    <xf numFmtId="0" fontId="3" fillId="0" borderId="11" xfId="4" applyFont="1" applyFill="1" applyBorder="1" applyAlignment="1">
      <alignment horizontal="left" indent="1"/>
    </xf>
    <xf numFmtId="0" fontId="24" fillId="0" borderId="0" xfId="0" quotePrefix="1" applyFont="1" applyProtection="1"/>
    <xf numFmtId="0" fontId="3" fillId="0" borderId="0" xfId="0" applyFont="1" applyAlignment="1">
      <alignment horizontal="center"/>
    </xf>
    <xf numFmtId="169" fontId="3" fillId="7" borderId="20" xfId="1" applyNumberFormat="1" applyFont="1" applyFill="1" applyBorder="1" applyAlignment="1">
      <alignment horizontal="center"/>
    </xf>
    <xf numFmtId="169" fontId="3" fillId="7" borderId="22" xfId="1" applyNumberFormat="1" applyFont="1" applyFill="1" applyBorder="1" applyAlignment="1">
      <alignment horizontal="center"/>
    </xf>
    <xf numFmtId="169" fontId="3" fillId="7" borderId="24" xfId="1" applyNumberFormat="1" applyFont="1" applyFill="1" applyBorder="1" applyAlignment="1">
      <alignment horizontal="center"/>
    </xf>
    <xf numFmtId="164" fontId="3" fillId="5" borderId="21" xfId="1" applyNumberFormat="1" applyFont="1" applyFill="1" applyBorder="1" applyAlignment="1">
      <alignment horizontal="center"/>
    </xf>
    <xf numFmtId="164" fontId="3" fillId="5" borderId="23" xfId="1" applyNumberFormat="1" applyFont="1" applyFill="1" applyBorder="1" applyAlignment="1">
      <alignment horizontal="center"/>
    </xf>
    <xf numFmtId="164" fontId="3" fillId="7" borderId="25" xfId="1" applyNumberFormat="1" applyFont="1" applyFill="1" applyBorder="1" applyAlignment="1">
      <alignment horizontal="center"/>
    </xf>
    <xf numFmtId="164" fontId="3" fillId="7" borderId="12" xfId="1" applyNumberFormat="1" applyFont="1" applyFill="1" applyBorder="1" applyAlignment="1">
      <alignment horizontal="center"/>
    </xf>
    <xf numFmtId="164" fontId="3" fillId="7" borderId="14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2" borderId="16" xfId="0" quotePrefix="1" applyFont="1" applyFill="1" applyBorder="1" applyAlignment="1">
      <alignment horizontal="center"/>
    </xf>
    <xf numFmtId="0" fontId="3" fillId="2" borderId="17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8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quotePrefix="1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3" fillId="2" borderId="3" xfId="0" quotePrefix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6" fontId="3" fillId="2" borderId="17" xfId="0" applyNumberFormat="1" applyFont="1" applyFill="1" applyBorder="1" applyAlignment="1">
      <alignment horizontal="center"/>
    </xf>
    <xf numFmtId="6" fontId="3" fillId="2" borderId="18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2" fillId="0" borderId="0" xfId="0" applyNumberFormat="1" applyFont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</cellXfs>
  <cellStyles count="6">
    <cellStyle name="Comma" xfId="1" builtinId="3"/>
    <cellStyle name="Comma 2" xfId="2" xr:uid="{00000000-0005-0000-0000-000001000000}"/>
    <cellStyle name="Currency 2" xfId="3" xr:uid="{00000000-0005-0000-0000-000002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colors>
    <mruColors>
      <color rgb="FF0000FF"/>
      <color rgb="FF333333"/>
      <color rgb="FF261036"/>
      <color rgb="FF00642D"/>
      <color rgb="FF008000"/>
      <color rgb="FF00823B"/>
      <color rgb="FF00FF00"/>
      <color rgb="FF009A46"/>
      <color rgb="FFFFFF00"/>
      <color rgb="FF0086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8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ustomXml" Target="../customXml/item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>
    <tabColor theme="9" tint="-0.499984740745262"/>
    <pageSetUpPr fitToPage="1"/>
  </sheetPr>
  <dimension ref="A1:I62"/>
  <sheetViews>
    <sheetView zoomScaleNormal="100" workbookViewId="0">
      <selection sqref="A1:D1"/>
    </sheetView>
  </sheetViews>
  <sheetFormatPr defaultColWidth="9.1796875" defaultRowHeight="13"/>
  <cols>
    <col min="1" max="1" width="8.26953125" style="142" customWidth="1"/>
    <col min="2" max="2" width="50.54296875" style="46" customWidth="1"/>
    <col min="3" max="3" width="123.1796875" style="46" bestFit="1" customWidth="1"/>
    <col min="4" max="4" width="10.26953125" style="158" bestFit="1" customWidth="1"/>
    <col min="5" max="5" width="9.1796875" style="46"/>
    <col min="6" max="6" width="9.54296875" style="46" bestFit="1" customWidth="1"/>
    <col min="7" max="16384" width="9.1796875" style="46"/>
  </cols>
  <sheetData>
    <row r="1" spans="1:9">
      <c r="A1" s="726" t="s">
        <v>420</v>
      </c>
      <c r="B1" s="726"/>
      <c r="C1" s="726"/>
      <c r="D1" s="726"/>
    </row>
    <row r="2" spans="1:9">
      <c r="A2" s="726" t="s">
        <v>422</v>
      </c>
      <c r="B2" s="726"/>
      <c r="C2" s="726"/>
      <c r="D2" s="726"/>
    </row>
    <row r="3" spans="1:9">
      <c r="A3" s="726" t="s">
        <v>454</v>
      </c>
      <c r="B3" s="726"/>
      <c r="C3" s="726"/>
      <c r="D3" s="726"/>
    </row>
    <row r="4" spans="1:9">
      <c r="A4" s="696"/>
      <c r="B4" s="696"/>
      <c r="C4" s="696"/>
      <c r="D4" s="696"/>
    </row>
    <row r="5" spans="1:9">
      <c r="A5" s="394"/>
      <c r="B5" s="394"/>
      <c r="C5" s="394"/>
    </row>
    <row r="6" spans="1:9">
      <c r="A6" s="726" t="s">
        <v>212</v>
      </c>
      <c r="B6" s="726"/>
      <c r="C6" s="726"/>
      <c r="D6" s="726"/>
    </row>
    <row r="7" spans="1:9">
      <c r="C7" s="48"/>
    </row>
    <row r="8" spans="1:9">
      <c r="A8" s="142" t="s">
        <v>80</v>
      </c>
      <c r="B8" s="27"/>
      <c r="C8" s="120"/>
      <c r="D8" s="142" t="s">
        <v>80</v>
      </c>
    </row>
    <row r="9" spans="1:9">
      <c r="A9" s="397" t="s">
        <v>213</v>
      </c>
      <c r="B9" s="398" t="s">
        <v>214</v>
      </c>
      <c r="C9" s="398" t="s">
        <v>215</v>
      </c>
      <c r="D9" s="397" t="s">
        <v>213</v>
      </c>
      <c r="F9" s="394"/>
    </row>
    <row r="10" spans="1:9">
      <c r="A10" s="397"/>
      <c r="B10" s="398"/>
      <c r="C10" s="398"/>
      <c r="D10" s="397"/>
      <c r="F10" s="394"/>
    </row>
    <row r="11" spans="1:9">
      <c r="A11" s="142">
        <v>1</v>
      </c>
      <c r="B11" s="27" t="s">
        <v>212</v>
      </c>
      <c r="C11" s="383" t="s">
        <v>216</v>
      </c>
      <c r="D11" s="142">
        <v>1</v>
      </c>
      <c r="E11" s="129"/>
      <c r="F11" s="129"/>
      <c r="G11" s="399"/>
      <c r="I11" s="129"/>
    </row>
    <row r="12" spans="1:9">
      <c r="A12" s="142">
        <f t="shared" ref="A12:A62" si="0">A11+1</f>
        <v>2</v>
      </c>
      <c r="B12" s="27" t="s">
        <v>217</v>
      </c>
      <c r="C12" s="383" t="s">
        <v>218</v>
      </c>
      <c r="D12" s="142">
        <f t="shared" ref="D12:D62" si="1">D11+1</f>
        <v>2</v>
      </c>
      <c r="E12" s="129"/>
      <c r="F12" s="129"/>
      <c r="I12" s="129"/>
    </row>
    <row r="13" spans="1:9">
      <c r="A13" s="142">
        <f t="shared" si="0"/>
        <v>3</v>
      </c>
      <c r="B13" s="27" t="s">
        <v>219</v>
      </c>
      <c r="C13" s="383" t="s">
        <v>220</v>
      </c>
      <c r="D13" s="142">
        <f t="shared" si="1"/>
        <v>3</v>
      </c>
      <c r="E13" s="129"/>
      <c r="F13" s="129"/>
      <c r="I13" s="129"/>
    </row>
    <row r="14" spans="1:9">
      <c r="A14" s="142">
        <f t="shared" si="0"/>
        <v>4</v>
      </c>
      <c r="B14" s="65" t="s">
        <v>221</v>
      </c>
      <c r="C14" s="383" t="s">
        <v>222</v>
      </c>
      <c r="D14" s="142">
        <f t="shared" si="1"/>
        <v>4</v>
      </c>
      <c r="E14" s="129"/>
      <c r="F14" s="129"/>
      <c r="G14" s="129"/>
      <c r="I14" s="129"/>
    </row>
    <row r="15" spans="1:9">
      <c r="A15" s="142">
        <f t="shared" si="0"/>
        <v>5</v>
      </c>
      <c r="B15" s="65" t="s">
        <v>389</v>
      </c>
      <c r="C15" s="383" t="s">
        <v>391</v>
      </c>
      <c r="D15" s="142">
        <f t="shared" si="1"/>
        <v>5</v>
      </c>
      <c r="E15" s="129"/>
      <c r="F15" s="129"/>
      <c r="G15" s="129"/>
      <c r="I15" s="129"/>
    </row>
    <row r="16" spans="1:9">
      <c r="A16" s="142">
        <f t="shared" si="0"/>
        <v>6</v>
      </c>
      <c r="B16" s="65" t="s">
        <v>390</v>
      </c>
      <c r="C16" s="383" t="s">
        <v>392</v>
      </c>
      <c r="D16" s="142">
        <f t="shared" si="1"/>
        <v>6</v>
      </c>
      <c r="E16" s="129"/>
      <c r="F16" s="129"/>
      <c r="G16" s="129"/>
      <c r="I16" s="129"/>
    </row>
    <row r="17" spans="1:9">
      <c r="A17" s="142">
        <f t="shared" si="0"/>
        <v>7</v>
      </c>
      <c r="B17" s="65" t="s">
        <v>223</v>
      </c>
      <c r="C17" s="383" t="s">
        <v>332</v>
      </c>
      <c r="D17" s="142">
        <f t="shared" si="1"/>
        <v>7</v>
      </c>
      <c r="E17" s="129"/>
      <c r="F17" s="129"/>
      <c r="G17" s="129"/>
      <c r="I17" s="129"/>
    </row>
    <row r="18" spans="1:9">
      <c r="A18" s="142">
        <f t="shared" si="0"/>
        <v>8</v>
      </c>
      <c r="B18" s="65" t="s">
        <v>224</v>
      </c>
      <c r="C18" s="383" t="s">
        <v>225</v>
      </c>
      <c r="D18" s="142">
        <f t="shared" si="1"/>
        <v>8</v>
      </c>
      <c r="E18" s="129"/>
      <c r="F18" s="129"/>
      <c r="G18" s="129"/>
      <c r="I18" s="129"/>
    </row>
    <row r="19" spans="1:9">
      <c r="A19" s="142">
        <f t="shared" si="0"/>
        <v>9</v>
      </c>
      <c r="B19" s="65" t="s">
        <v>424</v>
      </c>
      <c r="C19" s="383" t="s">
        <v>425</v>
      </c>
      <c r="D19" s="142">
        <f t="shared" si="1"/>
        <v>9</v>
      </c>
      <c r="E19" s="129"/>
      <c r="F19" s="129"/>
      <c r="G19" s="129"/>
      <c r="I19" s="129"/>
    </row>
    <row r="20" spans="1:9">
      <c r="A20" s="142">
        <f t="shared" si="0"/>
        <v>10</v>
      </c>
      <c r="B20" s="65" t="s">
        <v>226</v>
      </c>
      <c r="C20" s="383" t="s">
        <v>265</v>
      </c>
      <c r="D20" s="142">
        <f t="shared" si="1"/>
        <v>10</v>
      </c>
      <c r="E20" s="129"/>
      <c r="F20" s="129"/>
      <c r="G20" s="129"/>
      <c r="I20" s="129"/>
    </row>
    <row r="21" spans="1:9">
      <c r="A21" s="142">
        <f t="shared" si="0"/>
        <v>11</v>
      </c>
      <c r="B21" s="65" t="s">
        <v>266</v>
      </c>
      <c r="C21" s="383" t="s">
        <v>227</v>
      </c>
      <c r="D21" s="142">
        <f t="shared" si="1"/>
        <v>11</v>
      </c>
      <c r="E21" s="129"/>
      <c r="F21" s="129"/>
      <c r="G21" s="129"/>
      <c r="I21" s="129"/>
    </row>
    <row r="22" spans="1:9">
      <c r="A22" s="142">
        <f t="shared" si="0"/>
        <v>12</v>
      </c>
      <c r="B22" s="65" t="s">
        <v>228</v>
      </c>
      <c r="C22" s="383" t="s">
        <v>393</v>
      </c>
      <c r="D22" s="142">
        <f t="shared" si="1"/>
        <v>12</v>
      </c>
      <c r="E22" s="129"/>
      <c r="F22" s="129"/>
      <c r="G22" s="129"/>
      <c r="I22" s="129"/>
    </row>
    <row r="23" spans="1:9">
      <c r="A23" s="142">
        <f t="shared" si="0"/>
        <v>13</v>
      </c>
      <c r="B23" s="65" t="s">
        <v>229</v>
      </c>
      <c r="C23" s="383" t="s">
        <v>230</v>
      </c>
      <c r="D23" s="142">
        <f t="shared" si="1"/>
        <v>13</v>
      </c>
      <c r="E23" s="129"/>
      <c r="F23" s="129"/>
      <c r="G23" s="129"/>
      <c r="I23" s="129"/>
    </row>
    <row r="24" spans="1:9">
      <c r="A24" s="142">
        <f t="shared" si="0"/>
        <v>14</v>
      </c>
      <c r="B24" s="65" t="s">
        <v>429</v>
      </c>
      <c r="C24" s="383" t="s">
        <v>333</v>
      </c>
      <c r="D24" s="142">
        <f t="shared" si="1"/>
        <v>14</v>
      </c>
      <c r="E24" s="129"/>
      <c r="F24" s="129"/>
      <c r="I24" s="129"/>
    </row>
    <row r="25" spans="1:9">
      <c r="A25" s="142">
        <f t="shared" si="0"/>
        <v>15</v>
      </c>
      <c r="B25" s="65" t="s">
        <v>430</v>
      </c>
      <c r="C25" s="383" t="s">
        <v>231</v>
      </c>
      <c r="D25" s="142">
        <f t="shared" si="1"/>
        <v>15</v>
      </c>
      <c r="E25" s="129"/>
      <c r="F25" s="129"/>
      <c r="I25" s="129"/>
    </row>
    <row r="26" spans="1:9">
      <c r="A26" s="142">
        <f t="shared" si="0"/>
        <v>16</v>
      </c>
      <c r="B26" s="65" t="s">
        <v>431</v>
      </c>
      <c r="C26" s="383" t="s">
        <v>394</v>
      </c>
      <c r="D26" s="142">
        <f t="shared" si="1"/>
        <v>16</v>
      </c>
      <c r="E26" s="129"/>
      <c r="F26" s="129"/>
      <c r="I26" s="129"/>
    </row>
    <row r="27" spans="1:9">
      <c r="A27" s="142">
        <f t="shared" si="0"/>
        <v>17</v>
      </c>
      <c r="B27" s="65" t="s">
        <v>306</v>
      </c>
      <c r="C27" s="383" t="s">
        <v>309</v>
      </c>
      <c r="D27" s="142">
        <f t="shared" si="1"/>
        <v>17</v>
      </c>
      <c r="E27" s="129"/>
      <c r="F27" s="129"/>
      <c r="I27" s="129"/>
    </row>
    <row r="28" spans="1:9">
      <c r="A28" s="142">
        <f t="shared" si="0"/>
        <v>18</v>
      </c>
      <c r="B28" s="65" t="s">
        <v>307</v>
      </c>
      <c r="C28" s="383" t="s">
        <v>310</v>
      </c>
      <c r="D28" s="142">
        <f t="shared" si="1"/>
        <v>18</v>
      </c>
      <c r="E28" s="129"/>
      <c r="F28" s="129"/>
      <c r="I28" s="129"/>
    </row>
    <row r="29" spans="1:9">
      <c r="A29" s="142">
        <f t="shared" si="0"/>
        <v>19</v>
      </c>
      <c r="B29" s="65" t="s">
        <v>308</v>
      </c>
      <c r="C29" s="383" t="s">
        <v>403</v>
      </c>
      <c r="D29" s="142">
        <f t="shared" si="1"/>
        <v>19</v>
      </c>
      <c r="E29" s="129"/>
      <c r="F29" s="129"/>
      <c r="I29" s="129"/>
    </row>
    <row r="30" spans="1:9">
      <c r="A30" s="142">
        <f t="shared" si="0"/>
        <v>20</v>
      </c>
      <c r="B30" s="65" t="s">
        <v>432</v>
      </c>
      <c r="C30" s="383" t="s">
        <v>435</v>
      </c>
      <c r="D30" s="142">
        <f t="shared" si="1"/>
        <v>20</v>
      </c>
      <c r="E30" s="129"/>
      <c r="F30" s="129"/>
      <c r="I30" s="129"/>
    </row>
    <row r="31" spans="1:9">
      <c r="A31" s="142">
        <f t="shared" si="0"/>
        <v>21</v>
      </c>
      <c r="B31" s="65" t="s">
        <v>433</v>
      </c>
      <c r="C31" s="383" t="s">
        <v>436</v>
      </c>
      <c r="D31" s="142">
        <f t="shared" si="1"/>
        <v>21</v>
      </c>
      <c r="E31" s="129"/>
      <c r="F31" s="129"/>
      <c r="I31" s="129"/>
    </row>
    <row r="32" spans="1:9">
      <c r="A32" s="142">
        <f t="shared" si="0"/>
        <v>22</v>
      </c>
      <c r="B32" s="65" t="s">
        <v>434</v>
      </c>
      <c r="C32" s="383" t="s">
        <v>437</v>
      </c>
      <c r="D32" s="142">
        <f t="shared" si="1"/>
        <v>22</v>
      </c>
      <c r="E32" s="129"/>
      <c r="F32" s="129"/>
      <c r="I32" s="129"/>
    </row>
    <row r="33" spans="1:9">
      <c r="A33" s="142">
        <f t="shared" si="0"/>
        <v>23</v>
      </c>
      <c r="B33" s="65" t="s">
        <v>232</v>
      </c>
      <c r="C33" s="383" t="s">
        <v>233</v>
      </c>
      <c r="D33" s="142">
        <f t="shared" si="1"/>
        <v>23</v>
      </c>
      <c r="E33" s="129"/>
      <c r="F33" s="129"/>
      <c r="G33" s="400"/>
      <c r="I33" s="129"/>
    </row>
    <row r="34" spans="1:9">
      <c r="A34" s="142">
        <f t="shared" si="0"/>
        <v>24</v>
      </c>
      <c r="B34" s="65" t="s">
        <v>267</v>
      </c>
      <c r="C34" s="383" t="s">
        <v>395</v>
      </c>
      <c r="D34" s="142">
        <f t="shared" si="1"/>
        <v>24</v>
      </c>
      <c r="E34" s="129"/>
      <c r="F34" s="129"/>
      <c r="I34" s="129"/>
    </row>
    <row r="35" spans="1:9">
      <c r="A35" s="142">
        <f t="shared" si="0"/>
        <v>25</v>
      </c>
      <c r="B35" s="65" t="s">
        <v>234</v>
      </c>
      <c r="C35" s="383" t="s">
        <v>334</v>
      </c>
      <c r="D35" s="142">
        <f t="shared" si="1"/>
        <v>25</v>
      </c>
      <c r="E35" s="129"/>
      <c r="F35" s="129"/>
      <c r="I35" s="129"/>
    </row>
    <row r="36" spans="1:9">
      <c r="A36" s="142">
        <f t="shared" si="0"/>
        <v>26</v>
      </c>
      <c r="B36" s="65" t="s">
        <v>235</v>
      </c>
      <c r="C36" s="383" t="s">
        <v>236</v>
      </c>
      <c r="D36" s="142">
        <f t="shared" si="1"/>
        <v>26</v>
      </c>
      <c r="E36" s="129"/>
      <c r="F36" s="129"/>
      <c r="I36" s="129"/>
    </row>
    <row r="37" spans="1:9">
      <c r="A37" s="142">
        <f t="shared" si="0"/>
        <v>27</v>
      </c>
      <c r="B37" s="65" t="s">
        <v>237</v>
      </c>
      <c r="C37" s="383" t="s">
        <v>238</v>
      </c>
      <c r="D37" s="142">
        <f t="shared" si="1"/>
        <v>27</v>
      </c>
      <c r="E37" s="129"/>
      <c r="F37" s="129"/>
      <c r="I37" s="129"/>
    </row>
    <row r="38" spans="1:9">
      <c r="A38" s="142">
        <f t="shared" si="0"/>
        <v>28</v>
      </c>
      <c r="B38" s="65" t="s">
        <v>239</v>
      </c>
      <c r="C38" s="383" t="s">
        <v>396</v>
      </c>
      <c r="D38" s="142">
        <f t="shared" si="1"/>
        <v>28</v>
      </c>
      <c r="E38" s="129"/>
      <c r="F38" s="129"/>
      <c r="I38" s="129"/>
    </row>
    <row r="39" spans="1:9">
      <c r="A39" s="142">
        <f t="shared" si="0"/>
        <v>29</v>
      </c>
      <c r="B39" s="65" t="s">
        <v>240</v>
      </c>
      <c r="C39" s="383" t="s">
        <v>335</v>
      </c>
      <c r="D39" s="142">
        <f t="shared" si="1"/>
        <v>29</v>
      </c>
      <c r="E39" s="129"/>
      <c r="F39" s="129"/>
      <c r="I39" s="129"/>
    </row>
    <row r="40" spans="1:9">
      <c r="A40" s="142">
        <f t="shared" si="0"/>
        <v>30</v>
      </c>
      <c r="B40" s="65" t="s">
        <v>241</v>
      </c>
      <c r="C40" s="383" t="s">
        <v>242</v>
      </c>
      <c r="D40" s="142">
        <f t="shared" si="1"/>
        <v>30</v>
      </c>
      <c r="E40" s="129"/>
      <c r="F40" s="129"/>
      <c r="G40" s="400"/>
      <c r="I40" s="129"/>
    </row>
    <row r="41" spans="1:9">
      <c r="A41" s="142">
        <f t="shared" si="0"/>
        <v>31</v>
      </c>
      <c r="B41" s="65" t="s">
        <v>243</v>
      </c>
      <c r="C41" s="383" t="s">
        <v>244</v>
      </c>
      <c r="D41" s="142">
        <f t="shared" si="1"/>
        <v>31</v>
      </c>
      <c r="E41" s="129"/>
      <c r="F41" s="129"/>
      <c r="I41" s="129"/>
    </row>
    <row r="42" spans="1:9">
      <c r="A42" s="142">
        <f t="shared" si="0"/>
        <v>32</v>
      </c>
      <c r="B42" s="65" t="s">
        <v>245</v>
      </c>
      <c r="C42" s="383" t="s">
        <v>397</v>
      </c>
      <c r="D42" s="142">
        <f t="shared" si="1"/>
        <v>32</v>
      </c>
      <c r="E42" s="129"/>
      <c r="F42" s="129"/>
      <c r="I42" s="129"/>
    </row>
    <row r="43" spans="1:9">
      <c r="A43" s="142">
        <f t="shared" si="0"/>
        <v>33</v>
      </c>
      <c r="B43" s="65" t="s">
        <v>246</v>
      </c>
      <c r="C43" s="383" t="s">
        <v>336</v>
      </c>
      <c r="D43" s="142">
        <f t="shared" si="1"/>
        <v>33</v>
      </c>
      <c r="E43" s="129"/>
      <c r="F43" s="129"/>
      <c r="I43" s="129"/>
    </row>
    <row r="44" spans="1:9">
      <c r="A44" s="142">
        <f t="shared" si="0"/>
        <v>34</v>
      </c>
      <c r="B44" s="65" t="s">
        <v>247</v>
      </c>
      <c r="C44" s="383" t="s">
        <v>248</v>
      </c>
      <c r="D44" s="142">
        <f t="shared" si="1"/>
        <v>34</v>
      </c>
      <c r="E44" s="129"/>
      <c r="F44" s="129"/>
      <c r="I44" s="129"/>
    </row>
    <row r="45" spans="1:9">
      <c r="A45" s="142">
        <f t="shared" si="0"/>
        <v>35</v>
      </c>
      <c r="B45" s="65" t="s">
        <v>249</v>
      </c>
      <c r="C45" s="383" t="s">
        <v>250</v>
      </c>
      <c r="D45" s="142">
        <f t="shared" si="1"/>
        <v>35</v>
      </c>
      <c r="E45" s="129"/>
      <c r="F45" s="129"/>
      <c r="I45" s="129"/>
    </row>
    <row r="46" spans="1:9">
      <c r="A46" s="142">
        <f t="shared" si="0"/>
        <v>36</v>
      </c>
      <c r="B46" s="65" t="s">
        <v>251</v>
      </c>
      <c r="C46" s="383" t="s">
        <v>402</v>
      </c>
      <c r="D46" s="142">
        <f t="shared" si="1"/>
        <v>36</v>
      </c>
      <c r="E46" s="129"/>
      <c r="F46" s="129"/>
      <c r="I46" s="129"/>
    </row>
    <row r="47" spans="1:9">
      <c r="A47" s="142">
        <f t="shared" si="0"/>
        <v>37</v>
      </c>
      <c r="B47" s="65" t="s">
        <v>252</v>
      </c>
      <c r="C47" s="383" t="s">
        <v>337</v>
      </c>
      <c r="D47" s="142">
        <f t="shared" si="1"/>
        <v>37</v>
      </c>
    </row>
    <row r="48" spans="1:9">
      <c r="A48" s="142">
        <f t="shared" si="0"/>
        <v>38</v>
      </c>
      <c r="B48" s="65" t="s">
        <v>253</v>
      </c>
      <c r="C48" s="383" t="s">
        <v>254</v>
      </c>
      <c r="D48" s="142">
        <f t="shared" si="1"/>
        <v>38</v>
      </c>
    </row>
    <row r="49" spans="1:4">
      <c r="A49" s="142">
        <f t="shared" si="0"/>
        <v>39</v>
      </c>
      <c r="B49" s="65" t="s">
        <v>255</v>
      </c>
      <c r="C49" s="383" t="s">
        <v>256</v>
      </c>
      <c r="D49" s="142">
        <f t="shared" si="1"/>
        <v>39</v>
      </c>
    </row>
    <row r="50" spans="1:4">
      <c r="A50" s="142">
        <f t="shared" si="0"/>
        <v>40</v>
      </c>
      <c r="B50" s="65" t="s">
        <v>257</v>
      </c>
      <c r="C50" s="383" t="s">
        <v>398</v>
      </c>
      <c r="D50" s="142">
        <f t="shared" si="1"/>
        <v>40</v>
      </c>
    </row>
    <row r="51" spans="1:4">
      <c r="A51" s="142">
        <f t="shared" si="0"/>
        <v>41</v>
      </c>
      <c r="B51" s="65" t="s">
        <v>438</v>
      </c>
      <c r="C51" s="383" t="s">
        <v>258</v>
      </c>
      <c r="D51" s="142">
        <f t="shared" si="1"/>
        <v>41</v>
      </c>
    </row>
    <row r="52" spans="1:4">
      <c r="A52" s="142">
        <f t="shared" si="0"/>
        <v>42</v>
      </c>
      <c r="B52" s="65" t="s">
        <v>439</v>
      </c>
      <c r="C52" s="383" t="s">
        <v>399</v>
      </c>
      <c r="D52" s="142">
        <f t="shared" si="1"/>
        <v>42</v>
      </c>
    </row>
    <row r="53" spans="1:4">
      <c r="A53" s="142">
        <f t="shared" si="0"/>
        <v>43</v>
      </c>
      <c r="B53" s="65" t="s">
        <v>339</v>
      </c>
      <c r="C53" s="383" t="s">
        <v>338</v>
      </c>
      <c r="D53" s="142">
        <f t="shared" si="1"/>
        <v>43</v>
      </c>
    </row>
    <row r="54" spans="1:4">
      <c r="A54" s="142">
        <f t="shared" si="0"/>
        <v>44</v>
      </c>
      <c r="B54" s="65" t="s">
        <v>311</v>
      </c>
      <c r="C54" s="383" t="s">
        <v>314</v>
      </c>
      <c r="D54" s="142">
        <f t="shared" si="1"/>
        <v>44</v>
      </c>
    </row>
    <row r="55" spans="1:4">
      <c r="A55" s="142">
        <f t="shared" si="0"/>
        <v>45</v>
      </c>
      <c r="B55" s="65" t="s">
        <v>312</v>
      </c>
      <c r="C55" s="383" t="s">
        <v>315</v>
      </c>
      <c r="D55" s="142">
        <f t="shared" si="1"/>
        <v>45</v>
      </c>
    </row>
    <row r="56" spans="1:4">
      <c r="A56" s="142">
        <f t="shared" si="0"/>
        <v>46</v>
      </c>
      <c r="B56" s="65" t="s">
        <v>313</v>
      </c>
      <c r="C56" s="383" t="s">
        <v>400</v>
      </c>
      <c r="D56" s="142">
        <f t="shared" si="1"/>
        <v>46</v>
      </c>
    </row>
    <row r="57" spans="1:4">
      <c r="A57" s="142">
        <f t="shared" si="0"/>
        <v>47</v>
      </c>
      <c r="B57" s="65" t="s">
        <v>343</v>
      </c>
      <c r="C57" s="383" t="s">
        <v>401</v>
      </c>
      <c r="D57" s="142">
        <f t="shared" si="1"/>
        <v>47</v>
      </c>
    </row>
    <row r="58" spans="1:4">
      <c r="A58" s="142">
        <f t="shared" si="0"/>
        <v>48</v>
      </c>
      <c r="B58" s="65" t="s">
        <v>259</v>
      </c>
      <c r="C58" s="383" t="s">
        <v>260</v>
      </c>
      <c r="D58" s="142">
        <f t="shared" si="1"/>
        <v>48</v>
      </c>
    </row>
    <row r="59" spans="1:4">
      <c r="A59" s="142">
        <f t="shared" si="0"/>
        <v>49</v>
      </c>
      <c r="B59" s="65" t="s">
        <v>426</v>
      </c>
      <c r="C59" s="383" t="s">
        <v>425</v>
      </c>
      <c r="D59" s="142">
        <f t="shared" si="1"/>
        <v>49</v>
      </c>
    </row>
    <row r="60" spans="1:4">
      <c r="A60" s="142">
        <f t="shared" si="0"/>
        <v>50</v>
      </c>
      <c r="B60" s="65" t="s">
        <v>427</v>
      </c>
      <c r="C60" s="46" t="s">
        <v>340</v>
      </c>
      <c r="D60" s="142">
        <f t="shared" si="1"/>
        <v>50</v>
      </c>
    </row>
    <row r="61" spans="1:4">
      <c r="A61" s="142">
        <f t="shared" si="0"/>
        <v>51</v>
      </c>
      <c r="B61" s="46" t="s">
        <v>261</v>
      </c>
      <c r="C61" s="383" t="s">
        <v>262</v>
      </c>
      <c r="D61" s="142">
        <f t="shared" si="1"/>
        <v>51</v>
      </c>
    </row>
    <row r="62" spans="1:4">
      <c r="A62" s="142">
        <f t="shared" si="0"/>
        <v>52</v>
      </c>
      <c r="B62" s="46" t="s">
        <v>263</v>
      </c>
      <c r="C62" s="46" t="s">
        <v>264</v>
      </c>
      <c r="D62" s="142">
        <f t="shared" si="1"/>
        <v>52</v>
      </c>
    </row>
  </sheetData>
  <mergeCells count="4">
    <mergeCell ref="A1:D1"/>
    <mergeCell ref="A2:D2"/>
    <mergeCell ref="A3:D3"/>
    <mergeCell ref="A6:D6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tabColor rgb="FFC00000"/>
    <pageSetUpPr fitToPage="1"/>
  </sheetPr>
  <dimension ref="A1:M63"/>
  <sheetViews>
    <sheetView zoomScaleNormal="100" workbookViewId="0">
      <selection activeCell="C39" sqref="C39"/>
    </sheetView>
  </sheetViews>
  <sheetFormatPr defaultRowHeight="12.5"/>
  <cols>
    <col min="1" max="1" width="29.26953125" customWidth="1"/>
    <col min="2" max="2" width="12.81640625" bestFit="1" customWidth="1"/>
    <col min="3" max="3" width="12" bestFit="1" customWidth="1"/>
    <col min="4" max="4" width="12.26953125" bestFit="1" customWidth="1"/>
    <col min="5" max="5" width="12" bestFit="1" customWidth="1"/>
    <col min="6" max="6" width="12.81640625" bestFit="1" customWidth="1"/>
    <col min="7" max="7" width="8.7265625" bestFit="1" customWidth="1"/>
    <col min="8" max="8" width="9.54296875" customWidth="1"/>
    <col min="9" max="9" width="9" bestFit="1" customWidth="1"/>
    <col min="10" max="10" width="14" bestFit="1" customWidth="1"/>
    <col min="11" max="11" width="11.26953125" bestFit="1" customWidth="1"/>
    <col min="12" max="12" width="12.26953125" bestFit="1" customWidth="1"/>
    <col min="13" max="13" width="11.26953125" bestFit="1" customWidth="1"/>
  </cols>
  <sheetData>
    <row r="1" spans="1:13" ht="18.5" thickBot="1">
      <c r="A1" s="735" t="s">
        <v>54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"/>
      <c r="B2" s="736" t="s">
        <v>0</v>
      </c>
      <c r="C2" s="737"/>
      <c r="D2" s="737"/>
      <c r="E2" s="738"/>
      <c r="F2" s="736" t="s">
        <v>1</v>
      </c>
      <c r="G2" s="737"/>
      <c r="H2" s="737"/>
      <c r="I2" s="738"/>
      <c r="J2" s="736" t="s">
        <v>205</v>
      </c>
      <c r="K2" s="737"/>
      <c r="L2" s="737"/>
      <c r="M2" s="738"/>
    </row>
    <row r="3" spans="1:13" ht="13">
      <c r="A3" s="323"/>
      <c r="B3" s="323"/>
      <c r="C3" s="324"/>
      <c r="D3" s="324"/>
      <c r="E3" s="325" t="s">
        <v>41</v>
      </c>
      <c r="F3" s="323"/>
      <c r="G3" s="324"/>
      <c r="H3" s="324"/>
      <c r="I3" s="325" t="s">
        <v>41</v>
      </c>
      <c r="J3" s="323"/>
      <c r="K3" s="324"/>
      <c r="L3" s="324"/>
      <c r="M3" s="325" t="s">
        <v>41</v>
      </c>
    </row>
    <row r="4" spans="1:13" ht="13.5" thickBot="1">
      <c r="A4" s="2" t="s">
        <v>4</v>
      </c>
      <c r="B4" s="269" t="s">
        <v>36</v>
      </c>
      <c r="C4" s="270" t="s">
        <v>37</v>
      </c>
      <c r="D4" s="270" t="s">
        <v>38</v>
      </c>
      <c r="E4" s="271" t="s">
        <v>39</v>
      </c>
      <c r="F4" s="320" t="s">
        <v>36</v>
      </c>
      <c r="G4" s="321" t="s">
        <v>37</v>
      </c>
      <c r="H4" s="321" t="s">
        <v>38</v>
      </c>
      <c r="I4" s="322" t="s">
        <v>39</v>
      </c>
      <c r="J4" s="320" t="s">
        <v>36</v>
      </c>
      <c r="K4" s="321" t="s">
        <v>37</v>
      </c>
      <c r="L4" s="321" t="s">
        <v>38</v>
      </c>
      <c r="M4" s="322" t="s">
        <v>39</v>
      </c>
    </row>
    <row r="5" spans="1:13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</row>
    <row r="6" spans="1:13" ht="13">
      <c r="A6" s="10"/>
      <c r="B6" s="10"/>
      <c r="C6" s="27"/>
      <c r="D6" s="27"/>
      <c r="E6" s="9"/>
      <c r="F6" s="10"/>
      <c r="G6" s="27"/>
      <c r="H6" s="27"/>
      <c r="I6" s="9"/>
      <c r="J6" s="10"/>
      <c r="K6" s="27"/>
      <c r="L6" s="27"/>
      <c r="M6" s="9"/>
    </row>
    <row r="7" spans="1:13" ht="13">
      <c r="A7" s="21" t="s">
        <v>5</v>
      </c>
      <c r="B7" s="138">
        <f>'Sch DR TSM'!R7</f>
        <v>0</v>
      </c>
      <c r="C7" s="32">
        <f>'Sch DR TSM'!S7</f>
        <v>0</v>
      </c>
      <c r="D7" s="32">
        <f>'Sch DR TSM'!T7</f>
        <v>0</v>
      </c>
      <c r="E7" s="45">
        <f>IF(SUM(B7:D7)=0,0,SUM(B7:D7)/'Resid Cust Fcst '!BX8)</f>
        <v>0</v>
      </c>
      <c r="F7" s="138"/>
      <c r="G7" s="32"/>
      <c r="H7" s="32"/>
      <c r="I7" s="45"/>
      <c r="J7" s="138">
        <f>B7+F7</f>
        <v>0</v>
      </c>
      <c r="K7" s="32">
        <f>C7+G7</f>
        <v>0</v>
      </c>
      <c r="L7" s="32">
        <f>D7+H7</f>
        <v>0</v>
      </c>
      <c r="M7" s="45">
        <f>IF(SUM(J7:L7)=0,0,SUM(J7:L7)/'Resid Cust Fcst '!BZ8)</f>
        <v>0</v>
      </c>
    </row>
    <row r="8" spans="1:13" ht="13">
      <c r="A8" s="22" t="s">
        <v>6</v>
      </c>
      <c r="B8" s="138">
        <f>'Sch DR TSM'!R8</f>
        <v>0</v>
      </c>
      <c r="C8" s="32">
        <f>'Sch DR TSM'!S8</f>
        <v>0</v>
      </c>
      <c r="D8" s="32">
        <f>'Sch DR TSM'!T8</f>
        <v>0</v>
      </c>
      <c r="E8" s="45">
        <f>IF(SUM(B8:D8)=0,0,SUM(B8:D8)/'Resid Cust Fcst '!BX9)</f>
        <v>0</v>
      </c>
      <c r="F8" s="138"/>
      <c r="G8" s="32"/>
      <c r="H8" s="32"/>
      <c r="I8" s="45"/>
      <c r="J8" s="138">
        <f t="shared" ref="J8:J37" si="0">B8+F8</f>
        <v>0</v>
      </c>
      <c r="K8" s="32">
        <f t="shared" ref="K8:K37" si="1">C8+G8</f>
        <v>0</v>
      </c>
      <c r="L8" s="32">
        <f t="shared" ref="L8:L37" si="2">D8+H8</f>
        <v>0</v>
      </c>
      <c r="M8" s="45">
        <f>IF(SUM(J8:L8)=0,0,SUM(J8:L8)/'Resid Cust Fcst '!BZ9)</f>
        <v>0</v>
      </c>
    </row>
    <row r="9" spans="1:13" ht="13">
      <c r="A9" s="22" t="s">
        <v>7</v>
      </c>
      <c r="B9" s="138">
        <f>'Sch DR TSM'!R9</f>
        <v>0</v>
      </c>
      <c r="C9" s="32">
        <f>'Sch DR TSM'!S9</f>
        <v>0</v>
      </c>
      <c r="D9" s="32">
        <f>'Sch DR TSM'!T9</f>
        <v>0</v>
      </c>
      <c r="E9" s="45">
        <f>IF(SUM(B9:D9)=0,0,SUM(B9:D9)/'Resid Cust Fcst '!BX10)</f>
        <v>0</v>
      </c>
      <c r="F9" s="138"/>
      <c r="G9" s="32"/>
      <c r="H9" s="32"/>
      <c r="I9" s="45"/>
      <c r="J9" s="138">
        <f t="shared" si="0"/>
        <v>0</v>
      </c>
      <c r="K9" s="32">
        <f t="shared" si="1"/>
        <v>0</v>
      </c>
      <c r="L9" s="32">
        <f t="shared" si="2"/>
        <v>0</v>
      </c>
      <c r="M9" s="45">
        <f>IF(SUM(J9:L9)=0,0,SUM(J9:L9)/'Resid Cust Fcst '!BZ10)</f>
        <v>0</v>
      </c>
    </row>
    <row r="10" spans="1:13" ht="13">
      <c r="A10" s="273" t="s">
        <v>105</v>
      </c>
      <c r="B10" s="138">
        <f>'Sch DR TSM'!R10</f>
        <v>1349.6507651389106</v>
      </c>
      <c r="C10" s="32">
        <f>'Sch DR TSM'!S10</f>
        <v>213.73179817905475</v>
      </c>
      <c r="D10" s="32">
        <f>'Sch DR TSM'!T10</f>
        <v>246.24333484162895</v>
      </c>
      <c r="E10" s="45">
        <f>IF(SUM(B10:D10)=0,0,SUM(B10:D10)/'Resid Cust Fcst '!BX11)</f>
        <v>1809.6258981595943</v>
      </c>
      <c r="F10" s="138"/>
      <c r="G10" s="32"/>
      <c r="H10" s="32"/>
      <c r="I10" s="45"/>
      <c r="J10" s="138">
        <f t="shared" si="0"/>
        <v>1349.6507651389106</v>
      </c>
      <c r="K10" s="32">
        <f t="shared" si="1"/>
        <v>213.73179817905475</v>
      </c>
      <c r="L10" s="32">
        <f t="shared" si="2"/>
        <v>246.24333484162895</v>
      </c>
      <c r="M10" s="45">
        <f>IF(SUM(J10:L10)=0,0,SUM(J10:L10)/'Resid Cust Fcst '!BZ11)</f>
        <v>1809.6258981595943</v>
      </c>
    </row>
    <row r="11" spans="1:13" ht="13">
      <c r="A11" s="21" t="s">
        <v>97</v>
      </c>
      <c r="B11" s="138">
        <f>'Sch DR TSM'!R11</f>
        <v>0</v>
      </c>
      <c r="C11" s="32">
        <f>'Sch DR TSM'!S11</f>
        <v>0</v>
      </c>
      <c r="D11" s="32">
        <f>'Sch DR TSM'!T11</f>
        <v>0</v>
      </c>
      <c r="E11" s="45">
        <f>IF(SUM(B11:D11)=0,0,SUM(B11:D11)/'Resid Cust Fcst '!BX12)</f>
        <v>0</v>
      </c>
      <c r="F11" s="138"/>
      <c r="G11" s="32"/>
      <c r="H11" s="32"/>
      <c r="I11" s="45"/>
      <c r="J11" s="138">
        <f t="shared" si="0"/>
        <v>0</v>
      </c>
      <c r="K11" s="32">
        <f t="shared" si="1"/>
        <v>0</v>
      </c>
      <c r="L11" s="32">
        <f t="shared" si="2"/>
        <v>0</v>
      </c>
      <c r="M11" s="45">
        <f>IF(SUM(J11:L11)=0,0,SUM(J11:L11)/'Resid Cust Fcst '!BZ12)</f>
        <v>0</v>
      </c>
    </row>
    <row r="12" spans="1:13" ht="13">
      <c r="A12" s="21" t="s">
        <v>8</v>
      </c>
      <c r="B12" s="138">
        <f>'Sch DR TSM'!R12</f>
        <v>0</v>
      </c>
      <c r="C12" s="32">
        <f>'Sch DR TSM'!S12</f>
        <v>0</v>
      </c>
      <c r="D12" s="32">
        <f>'Sch DR TSM'!T12</f>
        <v>0</v>
      </c>
      <c r="E12" s="45">
        <f>IF(SUM(B12:D12)=0,0,SUM(B12:D12)/'Resid Cust Fcst '!BX13)</f>
        <v>0</v>
      </c>
      <c r="F12" s="138"/>
      <c r="G12" s="32"/>
      <c r="H12" s="32"/>
      <c r="I12" s="45"/>
      <c r="J12" s="138">
        <f t="shared" si="0"/>
        <v>0</v>
      </c>
      <c r="K12" s="32">
        <f t="shared" si="1"/>
        <v>0</v>
      </c>
      <c r="L12" s="32">
        <f t="shared" si="2"/>
        <v>0</v>
      </c>
      <c r="M12" s="45">
        <f>IF(SUM(J12:L12)=0,0,SUM(J12:L12)/'Resid Cust Fcst '!BZ13)</f>
        <v>0</v>
      </c>
    </row>
    <row r="13" spans="1:13" ht="13">
      <c r="A13" s="21" t="s">
        <v>9</v>
      </c>
      <c r="B13" s="138">
        <f>'Sch DR TSM'!R13</f>
        <v>0</v>
      </c>
      <c r="C13" s="32">
        <f>'Sch DR TSM'!S13</f>
        <v>0</v>
      </c>
      <c r="D13" s="32">
        <f>'Sch DR TSM'!T13</f>
        <v>0</v>
      </c>
      <c r="E13" s="45">
        <f>IF(SUM(B13:D13)=0,0,SUM(B13:D13)/'Resid Cust Fcst '!BX14)</f>
        <v>0</v>
      </c>
      <c r="F13" s="138"/>
      <c r="G13" s="32"/>
      <c r="H13" s="32"/>
      <c r="I13" s="45"/>
      <c r="J13" s="138">
        <f t="shared" si="0"/>
        <v>0</v>
      </c>
      <c r="K13" s="32">
        <f t="shared" si="1"/>
        <v>0</v>
      </c>
      <c r="L13" s="32">
        <f t="shared" si="2"/>
        <v>0</v>
      </c>
      <c r="M13" s="45">
        <f>IF(SUM(J13:L13)=0,0,SUM(J13:L13)/'Resid Cust Fcst '!BZ14)</f>
        <v>0</v>
      </c>
    </row>
    <row r="14" spans="1:13" ht="13">
      <c r="A14" s="21" t="s">
        <v>10</v>
      </c>
      <c r="B14" s="138">
        <f>'Sch DR TSM'!R14</f>
        <v>0</v>
      </c>
      <c r="C14" s="32">
        <f>'Sch DR TSM'!S14</f>
        <v>0</v>
      </c>
      <c r="D14" s="32">
        <f>'Sch DR TSM'!T14</f>
        <v>0</v>
      </c>
      <c r="E14" s="45">
        <f>IF(SUM(B14:D14)=0,0,SUM(B14:D14)/'Resid Cust Fcst '!BX15)</f>
        <v>0</v>
      </c>
      <c r="F14" s="138"/>
      <c r="G14" s="32"/>
      <c r="H14" s="32"/>
      <c r="I14" s="45"/>
      <c r="J14" s="138">
        <f t="shared" si="0"/>
        <v>0</v>
      </c>
      <c r="K14" s="32">
        <f t="shared" si="1"/>
        <v>0</v>
      </c>
      <c r="L14" s="32">
        <f t="shared" si="2"/>
        <v>0</v>
      </c>
      <c r="M14" s="45">
        <f>IF(SUM(J14:L14)=0,0,SUM(J14:L14)/'Resid Cust Fcst '!BZ15)</f>
        <v>0</v>
      </c>
    </row>
    <row r="15" spans="1:13" ht="13">
      <c r="A15" s="21" t="s">
        <v>11</v>
      </c>
      <c r="B15" s="138">
        <f>'Sch DR TSM'!R15</f>
        <v>0</v>
      </c>
      <c r="C15" s="32">
        <f>'Sch DR TSM'!S15</f>
        <v>0</v>
      </c>
      <c r="D15" s="32">
        <f>'Sch DR TSM'!T15</f>
        <v>0</v>
      </c>
      <c r="E15" s="45">
        <f>IF(SUM(B15:D15)=0,0,SUM(B15:D15)/'Resid Cust Fcst '!BX16)</f>
        <v>0</v>
      </c>
      <c r="F15" s="138"/>
      <c r="G15" s="32"/>
      <c r="H15" s="32"/>
      <c r="I15" s="45"/>
      <c r="J15" s="138">
        <f t="shared" si="0"/>
        <v>0</v>
      </c>
      <c r="K15" s="32">
        <f t="shared" si="1"/>
        <v>0</v>
      </c>
      <c r="L15" s="32">
        <f t="shared" si="2"/>
        <v>0</v>
      </c>
      <c r="M15" s="45">
        <f>IF(SUM(J15:L15)=0,0,SUM(J15:L15)/'Resid Cust Fcst '!BZ16)</f>
        <v>0</v>
      </c>
    </row>
    <row r="16" spans="1:13" ht="13">
      <c r="A16" s="21" t="s">
        <v>101</v>
      </c>
      <c r="B16" s="138">
        <f>'Sch DR TSM'!R16</f>
        <v>0</v>
      </c>
      <c r="C16" s="32">
        <f>'Sch DR TSM'!S16</f>
        <v>0</v>
      </c>
      <c r="D16" s="32">
        <f>'Sch DR TSM'!T16</f>
        <v>0</v>
      </c>
      <c r="E16" s="45">
        <f>IF(SUM(B16:D16)=0,0,SUM(B16:D16)/'Resid Cust Fcst '!BX17)</f>
        <v>0</v>
      </c>
      <c r="F16" s="138"/>
      <c r="G16" s="32"/>
      <c r="H16" s="32"/>
      <c r="I16" s="45"/>
      <c r="J16" s="138">
        <f t="shared" si="0"/>
        <v>0</v>
      </c>
      <c r="K16" s="32">
        <f t="shared" si="1"/>
        <v>0</v>
      </c>
      <c r="L16" s="32">
        <f t="shared" si="2"/>
        <v>0</v>
      </c>
      <c r="M16" s="45">
        <f>IF(SUM(J16:L16)=0,0,SUM(J16:L16)/'Resid Cust Fcst '!BZ17)</f>
        <v>0</v>
      </c>
    </row>
    <row r="17" spans="1:13" ht="13">
      <c r="A17" s="21" t="s">
        <v>102</v>
      </c>
      <c r="B17" s="138">
        <f>'Sch DR TSM'!R17</f>
        <v>0</v>
      </c>
      <c r="C17" s="32">
        <f>'Sch DR TSM'!S17</f>
        <v>0</v>
      </c>
      <c r="D17" s="32">
        <f>'Sch DR TSM'!T17</f>
        <v>0</v>
      </c>
      <c r="E17" s="45">
        <f>IF(SUM(B17:D17)=0,0,SUM(B17:D17)/'Resid Cust Fcst '!BX18)</f>
        <v>0</v>
      </c>
      <c r="F17" s="138"/>
      <c r="G17" s="32"/>
      <c r="H17" s="32"/>
      <c r="I17" s="45"/>
      <c r="J17" s="138">
        <f t="shared" si="0"/>
        <v>0</v>
      </c>
      <c r="K17" s="32">
        <f t="shared" si="1"/>
        <v>0</v>
      </c>
      <c r="L17" s="32">
        <f t="shared" si="2"/>
        <v>0</v>
      </c>
      <c r="M17" s="45">
        <f>IF(SUM(J17:L17)=0,0,SUM(J17:L17)/'Resid Cust Fcst '!BZ18)</f>
        <v>0</v>
      </c>
    </row>
    <row r="18" spans="1:13" ht="13">
      <c r="A18" s="21" t="s">
        <v>12</v>
      </c>
      <c r="B18" s="138">
        <f>'Sch DR TSM'!R18</f>
        <v>0</v>
      </c>
      <c r="C18" s="32">
        <f>'Sch DR TSM'!S18</f>
        <v>0</v>
      </c>
      <c r="D18" s="32">
        <f>'Sch DR TSM'!T18</f>
        <v>0</v>
      </c>
      <c r="E18" s="45">
        <f>IF(SUM(B18:D18)=0,0,SUM(B18:D18)/'Resid Cust Fcst '!BX19)</f>
        <v>0</v>
      </c>
      <c r="F18" s="138"/>
      <c r="G18" s="32"/>
      <c r="H18" s="32"/>
      <c r="I18" s="45"/>
      <c r="J18" s="138">
        <f t="shared" si="0"/>
        <v>0</v>
      </c>
      <c r="K18" s="32">
        <f t="shared" si="1"/>
        <v>0</v>
      </c>
      <c r="L18" s="32">
        <f t="shared" si="2"/>
        <v>0</v>
      </c>
      <c r="M18" s="45">
        <f>IF(SUM(J18:L18)=0,0,SUM(J18:L18)/'Resid Cust Fcst '!BZ19)</f>
        <v>0</v>
      </c>
    </row>
    <row r="19" spans="1:13" ht="13">
      <c r="A19" s="104" t="s">
        <v>13</v>
      </c>
      <c r="B19" s="138">
        <f>'Sch DR TSM'!R19</f>
        <v>0</v>
      </c>
      <c r="C19" s="32">
        <f>'Sch DR TSM'!S19</f>
        <v>0</v>
      </c>
      <c r="D19" s="32">
        <f>'Sch DR TSM'!T19</f>
        <v>0</v>
      </c>
      <c r="E19" s="45">
        <f>IF(SUM(B19:D19)=0,0,SUM(B19:D19)/'Resid Cust Fcst '!BX20)</f>
        <v>0</v>
      </c>
      <c r="F19" s="138"/>
      <c r="G19" s="32"/>
      <c r="H19" s="32"/>
      <c r="I19" s="45"/>
      <c r="J19" s="138">
        <f t="shared" si="0"/>
        <v>0</v>
      </c>
      <c r="K19" s="32">
        <f t="shared" si="1"/>
        <v>0</v>
      </c>
      <c r="L19" s="32">
        <f t="shared" si="2"/>
        <v>0</v>
      </c>
      <c r="M19" s="45">
        <f>IF(SUM(J19:L19)=0,0,SUM(J19:L19)/'Resid Cust Fcst '!BZ20)</f>
        <v>0</v>
      </c>
    </row>
    <row r="20" spans="1:13" ht="13">
      <c r="A20" s="21" t="s">
        <v>103</v>
      </c>
      <c r="B20" s="138">
        <f>'Sch DR TSM'!R20</f>
        <v>0</v>
      </c>
      <c r="C20" s="32">
        <f>'Sch DR TSM'!S20</f>
        <v>0</v>
      </c>
      <c r="D20" s="32">
        <f>'Sch DR TSM'!T20</f>
        <v>0</v>
      </c>
      <c r="E20" s="45">
        <f>IF(SUM(B20:D20)=0,0,SUM(B20:D20)/'Resid Cust Fcst '!BX21)</f>
        <v>0</v>
      </c>
      <c r="F20" s="138"/>
      <c r="G20" s="32"/>
      <c r="H20" s="32"/>
      <c r="I20" s="45"/>
      <c r="J20" s="138">
        <f t="shared" si="0"/>
        <v>0</v>
      </c>
      <c r="K20" s="32">
        <f t="shared" si="1"/>
        <v>0</v>
      </c>
      <c r="L20" s="32">
        <f t="shared" si="2"/>
        <v>0</v>
      </c>
      <c r="M20" s="45">
        <f>IF(SUM(J20:L20)=0,0,SUM(J20:L20)/'Resid Cust Fcst '!BZ21)</f>
        <v>0</v>
      </c>
    </row>
    <row r="21" spans="1:13" ht="13">
      <c r="A21" s="21" t="s">
        <v>104</v>
      </c>
      <c r="B21" s="138">
        <f>'Sch DR TSM'!R21</f>
        <v>0</v>
      </c>
      <c r="C21" s="32">
        <f>'Sch DR TSM'!S21</f>
        <v>0</v>
      </c>
      <c r="D21" s="32">
        <f>'Sch DR TSM'!T21</f>
        <v>0</v>
      </c>
      <c r="E21" s="45">
        <f>IF(SUM(B21:D21)=0,0,SUM(B21:D21)/'Resid Cust Fcst '!BX22)</f>
        <v>0</v>
      </c>
      <c r="F21" s="138"/>
      <c r="G21" s="32"/>
      <c r="H21" s="32"/>
      <c r="I21" s="45"/>
      <c r="J21" s="138">
        <f t="shared" si="0"/>
        <v>0</v>
      </c>
      <c r="K21" s="32">
        <f t="shared" si="1"/>
        <v>0</v>
      </c>
      <c r="L21" s="32">
        <f t="shared" si="2"/>
        <v>0</v>
      </c>
      <c r="M21" s="45">
        <f>IF(SUM(J21:L21)=0,0,SUM(J21:L21)/'Resid Cust Fcst '!BZ22)</f>
        <v>0</v>
      </c>
    </row>
    <row r="22" spans="1:13" ht="13">
      <c r="A22" s="21" t="s">
        <v>14</v>
      </c>
      <c r="B22" s="138">
        <f>'Sch DR TSM'!R22</f>
        <v>0</v>
      </c>
      <c r="C22" s="32">
        <f>'Sch DR TSM'!S22</f>
        <v>0</v>
      </c>
      <c r="D22" s="32">
        <f>'Sch DR TSM'!T22</f>
        <v>0</v>
      </c>
      <c r="E22" s="45">
        <f>IF(SUM(B22:D22)=0,0,SUM(B22:D22)/'Resid Cust Fcst '!BX23)</f>
        <v>0</v>
      </c>
      <c r="F22" s="138"/>
      <c r="G22" s="32"/>
      <c r="H22" s="32"/>
      <c r="I22" s="45"/>
      <c r="J22" s="138">
        <f t="shared" si="0"/>
        <v>0</v>
      </c>
      <c r="K22" s="32">
        <f t="shared" si="1"/>
        <v>0</v>
      </c>
      <c r="L22" s="32">
        <f t="shared" si="2"/>
        <v>0</v>
      </c>
      <c r="M22" s="45">
        <f>IF(SUM(J22:L22)=0,0,SUM(J22:L22)/'Resid Cust Fcst '!BZ23)</f>
        <v>0</v>
      </c>
    </row>
    <row r="23" spans="1:13" ht="13">
      <c r="A23" s="21" t="s">
        <v>15</v>
      </c>
      <c r="B23" s="138">
        <f>'Sch DR TSM'!R23</f>
        <v>0</v>
      </c>
      <c r="C23" s="32">
        <f>'Sch DR TSM'!S23</f>
        <v>0</v>
      </c>
      <c r="D23" s="32">
        <f>'Sch DR TSM'!T23</f>
        <v>0</v>
      </c>
      <c r="E23" s="45">
        <f>IF(SUM(B23:D23)=0,0,SUM(B23:D23)/'Resid Cust Fcst '!BX24)</f>
        <v>0</v>
      </c>
      <c r="F23" s="138"/>
      <c r="G23" s="32"/>
      <c r="H23" s="32"/>
      <c r="I23" s="45"/>
      <c r="J23" s="138">
        <f t="shared" si="0"/>
        <v>0</v>
      </c>
      <c r="K23" s="32">
        <f t="shared" si="1"/>
        <v>0</v>
      </c>
      <c r="L23" s="32">
        <f t="shared" si="2"/>
        <v>0</v>
      </c>
      <c r="M23" s="45">
        <f>IF(SUM(J23:L23)=0,0,SUM(J23:L23)/'Resid Cust Fcst '!BZ24)</f>
        <v>0</v>
      </c>
    </row>
    <row r="24" spans="1:13" ht="13">
      <c r="A24" s="21" t="s">
        <v>16</v>
      </c>
      <c r="B24" s="138">
        <f>'Sch DR TSM'!R24</f>
        <v>0</v>
      </c>
      <c r="C24" s="32">
        <f>'Sch DR TSM'!S24</f>
        <v>0</v>
      </c>
      <c r="D24" s="32">
        <f>'Sch DR TSM'!T24</f>
        <v>0</v>
      </c>
      <c r="E24" s="45">
        <f>IF(SUM(B24:D24)=0,0,SUM(B24:D24)/'Resid Cust Fcst '!BX25)</f>
        <v>0</v>
      </c>
      <c r="F24" s="138"/>
      <c r="G24" s="32"/>
      <c r="H24" s="32"/>
      <c r="I24" s="45"/>
      <c r="J24" s="138">
        <f t="shared" si="0"/>
        <v>0</v>
      </c>
      <c r="K24" s="32">
        <f t="shared" si="1"/>
        <v>0</v>
      </c>
      <c r="L24" s="32">
        <f t="shared" si="2"/>
        <v>0</v>
      </c>
      <c r="M24" s="45">
        <f>IF(SUM(J24:L24)=0,0,SUM(J24:L24)/'Resid Cust Fcst '!BZ25)</f>
        <v>0</v>
      </c>
    </row>
    <row r="25" spans="1:13" ht="13">
      <c r="A25" s="21" t="s">
        <v>17</v>
      </c>
      <c r="B25" s="138">
        <f>'Sch DR TSM'!R25</f>
        <v>0</v>
      </c>
      <c r="C25" s="32">
        <f>'Sch DR TSM'!S25</f>
        <v>0</v>
      </c>
      <c r="D25" s="32">
        <f>'Sch DR TSM'!T25</f>
        <v>0</v>
      </c>
      <c r="E25" s="45">
        <f>IF(SUM(B25:D25)=0,0,SUM(B25:D25)/'Resid Cust Fcst '!BX26)</f>
        <v>0</v>
      </c>
      <c r="F25" s="138"/>
      <c r="G25" s="32"/>
      <c r="H25" s="32"/>
      <c r="I25" s="45"/>
      <c r="J25" s="138">
        <f t="shared" si="0"/>
        <v>0</v>
      </c>
      <c r="K25" s="32">
        <f t="shared" si="1"/>
        <v>0</v>
      </c>
      <c r="L25" s="32">
        <f t="shared" si="2"/>
        <v>0</v>
      </c>
      <c r="M25" s="45">
        <f>IF(SUM(J25:L25)=0,0,SUM(J25:L25)/'Resid Cust Fcst '!BZ26)</f>
        <v>0</v>
      </c>
    </row>
    <row r="26" spans="1:13" ht="13">
      <c r="A26" s="21" t="s">
        <v>18</v>
      </c>
      <c r="B26" s="138">
        <f>'Sch DR TSM'!R26</f>
        <v>0</v>
      </c>
      <c r="C26" s="32">
        <f>'Sch DR TSM'!S26</f>
        <v>0</v>
      </c>
      <c r="D26" s="32">
        <f>'Sch DR TSM'!T26</f>
        <v>0</v>
      </c>
      <c r="E26" s="45">
        <f>IF(SUM(B26:D26)=0,0,SUM(B26:D26)/'Resid Cust Fcst '!BX27)</f>
        <v>0</v>
      </c>
      <c r="F26" s="138"/>
      <c r="G26" s="32"/>
      <c r="H26" s="32"/>
      <c r="I26" s="45"/>
      <c r="J26" s="138">
        <f t="shared" si="0"/>
        <v>0</v>
      </c>
      <c r="K26" s="32">
        <f t="shared" si="1"/>
        <v>0</v>
      </c>
      <c r="L26" s="32">
        <f t="shared" si="2"/>
        <v>0</v>
      </c>
      <c r="M26" s="45">
        <f>IF(SUM(J26:L26)=0,0,SUM(J26:L26)/'Resid Cust Fcst '!BZ27)</f>
        <v>0</v>
      </c>
    </row>
    <row r="27" spans="1:13" ht="13">
      <c r="A27" s="21" t="s">
        <v>19</v>
      </c>
      <c r="B27" s="138">
        <f>'Sch DR TSM'!R27</f>
        <v>0</v>
      </c>
      <c r="C27" s="32">
        <f>'Sch DR TSM'!S27</f>
        <v>0</v>
      </c>
      <c r="D27" s="32">
        <f>'Sch DR TSM'!T27</f>
        <v>0</v>
      </c>
      <c r="E27" s="45">
        <f>IF(SUM(B27:D27)=0,0,SUM(B27:D27)/'Resid Cust Fcst '!BX28)</f>
        <v>0</v>
      </c>
      <c r="F27" s="138"/>
      <c r="G27" s="32"/>
      <c r="H27" s="32"/>
      <c r="I27" s="45"/>
      <c r="J27" s="138">
        <f t="shared" si="0"/>
        <v>0</v>
      </c>
      <c r="K27" s="32">
        <f t="shared" si="1"/>
        <v>0</v>
      </c>
      <c r="L27" s="32">
        <f t="shared" si="2"/>
        <v>0</v>
      </c>
      <c r="M27" s="45">
        <f>IF(SUM(J27:L27)=0,0,SUM(J27:L27)/'Resid Cust Fcst '!BZ28)</f>
        <v>0</v>
      </c>
    </row>
    <row r="28" spans="1:13" ht="13">
      <c r="A28" s="21" t="s">
        <v>20</v>
      </c>
      <c r="B28" s="138">
        <f>'Sch DR TSM'!R28</f>
        <v>0</v>
      </c>
      <c r="C28" s="32">
        <f>'Sch DR TSM'!S28</f>
        <v>0</v>
      </c>
      <c r="D28" s="32">
        <f>'Sch DR TSM'!T28</f>
        <v>0</v>
      </c>
      <c r="E28" s="45">
        <f>IF(SUM(B28:D28)=0,0,SUM(B28:D28)/'Resid Cust Fcst '!BX29)</f>
        <v>0</v>
      </c>
      <c r="F28" s="138"/>
      <c r="G28" s="32"/>
      <c r="H28" s="32"/>
      <c r="I28" s="45"/>
      <c r="J28" s="138">
        <f t="shared" si="0"/>
        <v>0</v>
      </c>
      <c r="K28" s="32">
        <f t="shared" si="1"/>
        <v>0</v>
      </c>
      <c r="L28" s="32">
        <f t="shared" si="2"/>
        <v>0</v>
      </c>
      <c r="M28" s="45">
        <f>IF(SUM(J28:L28)=0,0,SUM(J28:L28)/'Resid Cust Fcst '!BZ29)</f>
        <v>0</v>
      </c>
    </row>
    <row r="29" spans="1:13" ht="13">
      <c r="A29" s="21" t="s">
        <v>21</v>
      </c>
      <c r="B29" s="138">
        <f>'Sch DR TSM'!R29</f>
        <v>0</v>
      </c>
      <c r="C29" s="32">
        <f>'Sch DR TSM'!S29</f>
        <v>0</v>
      </c>
      <c r="D29" s="32">
        <f>'Sch DR TSM'!T29</f>
        <v>0</v>
      </c>
      <c r="E29" s="45">
        <f>IF(SUM(B29:D29)=0,0,SUM(B29:D29)/'Resid Cust Fcst '!BX30)</f>
        <v>0</v>
      </c>
      <c r="F29" s="138"/>
      <c r="G29" s="32"/>
      <c r="H29" s="32"/>
      <c r="I29" s="45"/>
      <c r="J29" s="138">
        <f t="shared" si="0"/>
        <v>0</v>
      </c>
      <c r="K29" s="32">
        <f t="shared" si="1"/>
        <v>0</v>
      </c>
      <c r="L29" s="32">
        <f t="shared" si="2"/>
        <v>0</v>
      </c>
      <c r="M29" s="45">
        <f>IF(SUM(J29:L29)=0,0,SUM(J29:L29)/'Resid Cust Fcst '!BZ30)</f>
        <v>0</v>
      </c>
    </row>
    <row r="30" spans="1:13" ht="13">
      <c r="A30" s="21" t="s">
        <v>22</v>
      </c>
      <c r="B30" s="138">
        <f>'Sch DR TSM'!R30</f>
        <v>0</v>
      </c>
      <c r="C30" s="32">
        <f>'Sch DR TSM'!S30</f>
        <v>0</v>
      </c>
      <c r="D30" s="32">
        <f>'Sch DR TSM'!T30</f>
        <v>0</v>
      </c>
      <c r="E30" s="45">
        <f>IF(SUM(B30:D30)=0,0,SUM(B30:D30)/'Resid Cust Fcst '!BX31)</f>
        <v>0</v>
      </c>
      <c r="F30" s="138"/>
      <c r="G30" s="32"/>
      <c r="H30" s="32"/>
      <c r="I30" s="45"/>
      <c r="J30" s="138">
        <f t="shared" si="0"/>
        <v>0</v>
      </c>
      <c r="K30" s="32">
        <f t="shared" si="1"/>
        <v>0</v>
      </c>
      <c r="L30" s="32">
        <f t="shared" si="2"/>
        <v>0</v>
      </c>
      <c r="M30" s="45">
        <f>IF(SUM(J30:L30)=0,0,SUM(J30:L30)/'Resid Cust Fcst '!BZ31)</f>
        <v>0</v>
      </c>
    </row>
    <row r="31" spans="1:13" ht="13">
      <c r="A31" s="21" t="s">
        <v>23</v>
      </c>
      <c r="B31" s="138">
        <f>'Sch DR TSM'!R31</f>
        <v>0</v>
      </c>
      <c r="C31" s="32">
        <f>'Sch DR TSM'!S31</f>
        <v>0</v>
      </c>
      <c r="D31" s="32">
        <f>'Sch DR TSM'!T31</f>
        <v>0</v>
      </c>
      <c r="E31" s="45">
        <f>IF(SUM(B31:D31)=0,0,SUM(B31:D31)/'Resid Cust Fcst '!BX32)</f>
        <v>0</v>
      </c>
      <c r="F31" s="138"/>
      <c r="G31" s="32"/>
      <c r="H31" s="32"/>
      <c r="I31" s="45"/>
      <c r="J31" s="138">
        <f t="shared" si="0"/>
        <v>0</v>
      </c>
      <c r="K31" s="32">
        <f t="shared" si="1"/>
        <v>0</v>
      </c>
      <c r="L31" s="32">
        <f t="shared" si="2"/>
        <v>0</v>
      </c>
      <c r="M31" s="45">
        <f>IF(SUM(J31:L31)=0,0,SUM(J31:L31)/'Resid Cust Fcst '!BZ32)</f>
        <v>0</v>
      </c>
    </row>
    <row r="32" spans="1:13" ht="13">
      <c r="A32" s="21" t="s">
        <v>24</v>
      </c>
      <c r="B32" s="138">
        <f>'Sch DR TSM'!R32</f>
        <v>0</v>
      </c>
      <c r="C32" s="32">
        <f>'Sch DR TSM'!S32</f>
        <v>0</v>
      </c>
      <c r="D32" s="32">
        <f>'Sch DR TSM'!T32</f>
        <v>0</v>
      </c>
      <c r="E32" s="45">
        <f>IF(SUM(B32:D32)=0,0,SUM(B32:D32)/'Resid Cust Fcst '!BX33)</f>
        <v>0</v>
      </c>
      <c r="F32" s="138"/>
      <c r="G32" s="32"/>
      <c r="H32" s="32"/>
      <c r="I32" s="45"/>
      <c r="J32" s="138">
        <f t="shared" si="0"/>
        <v>0</v>
      </c>
      <c r="K32" s="32">
        <f t="shared" si="1"/>
        <v>0</v>
      </c>
      <c r="L32" s="32">
        <f t="shared" si="2"/>
        <v>0</v>
      </c>
      <c r="M32" s="45">
        <f>IF(SUM(J32:L32)=0,0,SUM(J32:L32)/'Resid Cust Fcst '!BZ33)</f>
        <v>0</v>
      </c>
    </row>
    <row r="33" spans="1:13" ht="13">
      <c r="A33" s="21" t="s">
        <v>25</v>
      </c>
      <c r="B33" s="138">
        <f>'Sch DR TSM'!R33</f>
        <v>0</v>
      </c>
      <c r="C33" s="32">
        <f>'Sch DR TSM'!S33</f>
        <v>0</v>
      </c>
      <c r="D33" s="32">
        <f>'Sch DR TSM'!T33</f>
        <v>0</v>
      </c>
      <c r="E33" s="45">
        <f>IF(SUM(B33:D33)=0,0,SUM(B33:D33)/'Resid Cust Fcst '!BX34)</f>
        <v>0</v>
      </c>
      <c r="F33" s="138"/>
      <c r="G33" s="32"/>
      <c r="H33" s="32"/>
      <c r="I33" s="45"/>
      <c r="J33" s="138">
        <f t="shared" si="0"/>
        <v>0</v>
      </c>
      <c r="K33" s="32">
        <f t="shared" si="1"/>
        <v>0</v>
      </c>
      <c r="L33" s="32">
        <f t="shared" si="2"/>
        <v>0</v>
      </c>
      <c r="M33" s="45">
        <f>IF(SUM(J33:L33)=0,0,SUM(J33:L33)/'Resid Cust Fcst '!BZ34)</f>
        <v>0</v>
      </c>
    </row>
    <row r="34" spans="1:13" ht="13">
      <c r="A34" s="21" t="s">
        <v>106</v>
      </c>
      <c r="B34" s="138">
        <f>'Sch DR TSM'!R34</f>
        <v>0</v>
      </c>
      <c r="C34" s="32">
        <f>'Sch DR TSM'!S34</f>
        <v>0</v>
      </c>
      <c r="D34" s="32">
        <f>'Sch DR TSM'!T34</f>
        <v>0</v>
      </c>
      <c r="E34" s="45">
        <f>IF(SUM(B34:D34)=0,0,SUM(B34:D34)/'Resid Cust Fcst '!BX35)</f>
        <v>0</v>
      </c>
      <c r="F34" s="138"/>
      <c r="G34" s="32"/>
      <c r="H34" s="32"/>
      <c r="I34" s="45"/>
      <c r="J34" s="138">
        <f t="shared" si="0"/>
        <v>0</v>
      </c>
      <c r="K34" s="32">
        <f t="shared" si="1"/>
        <v>0</v>
      </c>
      <c r="L34" s="32">
        <f t="shared" si="2"/>
        <v>0</v>
      </c>
      <c r="M34" s="45">
        <f>IF(SUM(J34:L34)=0,0,SUM(J34:L34)/'Resid Cust Fcst '!BZ35)</f>
        <v>0</v>
      </c>
    </row>
    <row r="35" spans="1:13" ht="13">
      <c r="A35" s="21" t="s">
        <v>107</v>
      </c>
      <c r="B35" s="138">
        <f>'Sch DR TSM'!R35</f>
        <v>0</v>
      </c>
      <c r="C35" s="32">
        <f>'Sch DR TSM'!S35</f>
        <v>0</v>
      </c>
      <c r="D35" s="32">
        <f>'Sch DR TSM'!T35</f>
        <v>0</v>
      </c>
      <c r="E35" s="45">
        <f>IF(SUM(B35:D35)=0,0,SUM(B35:D35)/'Resid Cust Fcst '!BX36)</f>
        <v>0</v>
      </c>
      <c r="F35" s="138"/>
      <c r="G35" s="32"/>
      <c r="H35" s="32"/>
      <c r="I35" s="45"/>
      <c r="J35" s="138">
        <f t="shared" si="0"/>
        <v>0</v>
      </c>
      <c r="K35" s="32">
        <f t="shared" si="1"/>
        <v>0</v>
      </c>
      <c r="L35" s="32">
        <f t="shared" si="2"/>
        <v>0</v>
      </c>
      <c r="M35" s="45">
        <f>IF(SUM(J35:L35)=0,0,SUM(J35:L35)/'Resid Cust Fcst '!BZ36)</f>
        <v>0</v>
      </c>
    </row>
    <row r="36" spans="1:13" ht="13">
      <c r="A36" s="21" t="s">
        <v>26</v>
      </c>
      <c r="B36" s="138">
        <f>'Sch DR TSM'!R36</f>
        <v>0</v>
      </c>
      <c r="C36" s="32">
        <f>'Sch DR TSM'!S36</f>
        <v>0</v>
      </c>
      <c r="D36" s="32">
        <f>'Sch DR TSM'!T36</f>
        <v>0</v>
      </c>
      <c r="E36" s="45">
        <f>IF(SUM(B36:D36)=0,0,SUM(B36:D36)/'Resid Cust Fcst '!BX37)</f>
        <v>0</v>
      </c>
      <c r="F36" s="138"/>
      <c r="G36" s="32"/>
      <c r="H36" s="32"/>
      <c r="I36" s="45"/>
      <c r="J36" s="138">
        <f t="shared" si="0"/>
        <v>0</v>
      </c>
      <c r="K36" s="32">
        <f t="shared" si="1"/>
        <v>0</v>
      </c>
      <c r="L36" s="32">
        <f t="shared" si="2"/>
        <v>0</v>
      </c>
      <c r="M36" s="45">
        <f>IF(SUM(J36:L36)=0,0,SUM(J36:L36)/'Resid Cust Fcst '!BZ37)</f>
        <v>0</v>
      </c>
    </row>
    <row r="37" spans="1:13" ht="13">
      <c r="A37" s="21" t="s">
        <v>27</v>
      </c>
      <c r="B37" s="138">
        <f>'Sch DR TSM'!R37</f>
        <v>0</v>
      </c>
      <c r="C37" s="32">
        <f>'Sch DR TSM'!S37</f>
        <v>0</v>
      </c>
      <c r="D37" s="32">
        <f>'Sch DR TSM'!T37</f>
        <v>0</v>
      </c>
      <c r="E37" s="45">
        <f>IF(SUM(B37:D37)=0,0,SUM(B37:D37)/'Resid Cust Fcst '!BX38)</f>
        <v>0</v>
      </c>
      <c r="F37" s="138"/>
      <c r="G37" s="32"/>
      <c r="H37" s="32"/>
      <c r="I37" s="45"/>
      <c r="J37" s="138">
        <f t="shared" si="0"/>
        <v>0</v>
      </c>
      <c r="K37" s="32">
        <f t="shared" si="1"/>
        <v>0</v>
      </c>
      <c r="L37" s="32">
        <f t="shared" si="2"/>
        <v>0</v>
      </c>
      <c r="M37" s="45">
        <f>IF(SUM(J37:L37)=0,0,SUM(J37:L37)/'Resid Cust Fcst '!BZ38)</f>
        <v>0</v>
      </c>
    </row>
    <row r="38" spans="1:13" ht="13">
      <c r="A38" s="21"/>
      <c r="B38" s="138"/>
      <c r="C38" s="32"/>
      <c r="D38" s="32"/>
      <c r="E38" s="45"/>
      <c r="F38" s="138"/>
      <c r="G38" s="32"/>
      <c r="H38" s="32"/>
      <c r="I38" s="45"/>
      <c r="J38" s="138"/>
      <c r="K38" s="32"/>
      <c r="L38" s="32"/>
      <c r="M38" s="45"/>
    </row>
    <row r="39" spans="1:13" ht="13">
      <c r="A39" s="29" t="s">
        <v>46</v>
      </c>
      <c r="B39" s="138">
        <f>SUM(B7:B37)/'Resid Cust Fcst '!$BX$40</f>
        <v>1349.6507651389106</v>
      </c>
      <c r="C39" s="32">
        <f>SUM(C7:C37)/'Resid Cust Fcst '!$BX$40</f>
        <v>213.73179817905475</v>
      </c>
      <c r="D39" s="32">
        <f>SUM(D7:D37)/'Resid Cust Fcst '!$BX$40</f>
        <v>246.24333484162895</v>
      </c>
      <c r="E39" s="45">
        <f>SUM(B39:D39)</f>
        <v>1809.6258981595943</v>
      </c>
      <c r="F39" s="138"/>
      <c r="G39" s="32"/>
      <c r="H39" s="32"/>
      <c r="I39" s="45"/>
      <c r="J39" s="138">
        <f>SUM(J7:J37)/'Resid Cust Fcst '!$BZ$40</f>
        <v>1349.6507651389106</v>
      </c>
      <c r="K39" s="32">
        <f>SUM(K7:K37)/'Resid Cust Fcst '!$BZ$40</f>
        <v>213.73179817905475</v>
      </c>
      <c r="L39" s="32">
        <f>SUM(L7:L37)/'Resid Cust Fcst '!$BZ$40</f>
        <v>246.24333484162895</v>
      </c>
      <c r="M39" s="45">
        <f>SUM(J39:L39)</f>
        <v>1809.6258981595943</v>
      </c>
    </row>
    <row r="40" spans="1:13" ht="13" thickBot="1">
      <c r="A40" s="15"/>
      <c r="B40" s="15"/>
      <c r="C40" s="28"/>
      <c r="D40" s="28"/>
      <c r="E40" s="17"/>
      <c r="F40" s="15"/>
      <c r="G40" s="28"/>
      <c r="H40" s="28"/>
      <c r="I40" s="17"/>
      <c r="J40" s="15"/>
      <c r="K40" s="28"/>
      <c r="L40" s="28"/>
      <c r="M40" s="17"/>
    </row>
    <row r="41" spans="1:13">
      <c r="E41" s="18"/>
    </row>
    <row r="43" spans="1:13">
      <c r="A43" t="s">
        <v>3</v>
      </c>
      <c r="J43" s="18"/>
    </row>
    <row r="51" spans="1:4">
      <c r="A51" s="19"/>
      <c r="B51" s="19"/>
      <c r="C51" s="19"/>
      <c r="D51" s="19"/>
    </row>
    <row r="63" spans="1:4">
      <c r="A63" s="19"/>
      <c r="B63" s="19"/>
      <c r="C63" s="19"/>
      <c r="D63" s="19"/>
    </row>
  </sheetData>
  <mergeCells count="4">
    <mergeCell ref="B2:E2"/>
    <mergeCell ref="F2:I2"/>
    <mergeCell ref="J2:M2"/>
    <mergeCell ref="A1:M1"/>
  </mergeCells>
  <phoneticPr fontId="0" type="noConversion"/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C00000"/>
    <pageSetUpPr fitToPage="1"/>
  </sheetPr>
  <dimension ref="A1:N59"/>
  <sheetViews>
    <sheetView zoomScaleNormal="100" workbookViewId="0">
      <selection activeCell="A27" sqref="A27"/>
    </sheetView>
  </sheetViews>
  <sheetFormatPr defaultRowHeight="12.5"/>
  <cols>
    <col min="1" max="1" width="40.7265625" customWidth="1"/>
    <col min="2" max="12" width="10.26953125" customWidth="1"/>
    <col min="13" max="13" width="15" bestFit="1" customWidth="1"/>
  </cols>
  <sheetData>
    <row r="1" spans="1:13" ht="18.5" thickBot="1">
      <c r="A1" s="750" t="s">
        <v>91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3" ht="13">
      <c r="A2" s="692"/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1"/>
    </row>
    <row r="3" spans="1:13" ht="13.5" thickBot="1">
      <c r="A3" s="693" t="s">
        <v>47</v>
      </c>
      <c r="B3" s="694" t="s">
        <v>28</v>
      </c>
      <c r="C3" s="694" t="s">
        <v>29</v>
      </c>
      <c r="D3" s="694" t="s">
        <v>30</v>
      </c>
      <c r="E3" s="694" t="s">
        <v>31</v>
      </c>
      <c r="F3" s="694" t="s">
        <v>68</v>
      </c>
      <c r="G3" s="694" t="s">
        <v>66</v>
      </c>
      <c r="H3" s="694" t="s">
        <v>287</v>
      </c>
      <c r="I3" s="694" t="s">
        <v>67</v>
      </c>
      <c r="J3" s="694" t="s">
        <v>89</v>
      </c>
      <c r="K3" s="694" t="s">
        <v>88</v>
      </c>
      <c r="L3" s="695" t="s">
        <v>48</v>
      </c>
    </row>
    <row r="4" spans="1:13" ht="13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3" ht="13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3" ht="13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3" ht="13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5" t="s">
        <v>86</v>
      </c>
    </row>
    <row r="8" spans="1:13" ht="13">
      <c r="A8" s="36" t="s">
        <v>53</v>
      </c>
      <c r="B8" s="134">
        <f>'Sch DR TSM'!Z39</f>
        <v>1349.6507651389106</v>
      </c>
      <c r="C8" s="33"/>
      <c r="D8" s="33"/>
      <c r="E8" s="33"/>
      <c r="F8" s="33"/>
      <c r="G8" s="134"/>
      <c r="H8" s="134"/>
      <c r="I8" s="33"/>
      <c r="J8" s="33"/>
      <c r="K8" s="33"/>
      <c r="L8" s="44">
        <f>'Resid TSM Summary'!J39</f>
        <v>1349.6507651389106</v>
      </c>
      <c r="M8" s="276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</row>
    <row r="9" spans="1:13" ht="13">
      <c r="A9" s="36" t="s">
        <v>51</v>
      </c>
      <c r="B9" s="134">
        <f>'Sch DR TSM'!AA39</f>
        <v>213.73179817905475</v>
      </c>
      <c r="C9" s="33"/>
      <c r="D9" s="33"/>
      <c r="E9" s="33"/>
      <c r="F9" s="33"/>
      <c r="G9" s="134"/>
      <c r="H9" s="134"/>
      <c r="I9" s="33"/>
      <c r="J9" s="33"/>
      <c r="K9" s="33"/>
      <c r="L9" s="44">
        <f>'Resid TSM Summary'!K39</f>
        <v>213.73179817905475</v>
      </c>
      <c r="M9" s="276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</row>
    <row r="10" spans="1:13" ht="13">
      <c r="A10" s="36" t="s">
        <v>52</v>
      </c>
      <c r="B10" s="134">
        <f>'Sch DR TSM'!AB39</f>
        <v>246.24333484162895</v>
      </c>
      <c r="C10" s="33"/>
      <c r="D10" s="33"/>
      <c r="E10" s="33"/>
      <c r="F10" s="33"/>
      <c r="G10" s="134"/>
      <c r="H10" s="134"/>
      <c r="I10" s="33"/>
      <c r="J10" s="33"/>
      <c r="K10" s="33"/>
      <c r="L10" s="44">
        <f>'Resid TSM Summary'!L39</f>
        <v>246.24333484162895</v>
      </c>
      <c r="M10" s="276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</row>
    <row r="11" spans="1:13" ht="13">
      <c r="A11" s="38"/>
      <c r="B11" s="134"/>
      <c r="C11" s="134"/>
      <c r="D11" s="134"/>
      <c r="E11" s="134"/>
      <c r="F11" s="134"/>
      <c r="G11" s="308"/>
      <c r="H11" s="308"/>
      <c r="I11" s="308"/>
      <c r="J11" s="134"/>
      <c r="K11" s="134"/>
      <c r="L11" s="44"/>
      <c r="M11" s="276"/>
    </row>
    <row r="12" spans="1:13" ht="13">
      <c r="A12" s="36" t="s">
        <v>35</v>
      </c>
      <c r="B12" s="134">
        <f t="shared" ref="B12:L12" si="0">SUM(B8:B10)</f>
        <v>1809.6258981595943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1809.6258981595943</v>
      </c>
      <c r="M12" s="276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3" ht="13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3" ht="13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3" ht="13">
      <c r="A15" s="47">
        <f>Inputs!C3</f>
        <v>2.9094935671404847E-2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3" ht="13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2" ht="13">
      <c r="A17" s="47">
        <f>Inputs!C4</f>
        <v>1.99475E-2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2" ht="13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2" ht="13">
      <c r="A19" s="94" t="s">
        <v>92</v>
      </c>
      <c r="B19" s="30">
        <f t="shared" ref="B19:L21" si="1">(B8*(1+$A$15)*(1+$A$17))</f>
        <v>1416.6242244407943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1416.6242244407943</v>
      </c>
    </row>
    <row r="20" spans="1:12" ht="13">
      <c r="A20" s="94" t="s">
        <v>51</v>
      </c>
      <c r="B20" s="30">
        <f t="shared" si="1"/>
        <v>224.33776992863551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224.33776992863551</v>
      </c>
    </row>
    <row r="21" spans="1:12" ht="13">
      <c r="A21" s="94" t="s">
        <v>52</v>
      </c>
      <c r="B21" s="30">
        <f t="shared" si="1"/>
        <v>258.46262029706202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258.46262029706202</v>
      </c>
    </row>
    <row r="22" spans="1:12" ht="13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2" ht="13">
      <c r="A23" s="36" t="s">
        <v>35</v>
      </c>
      <c r="B23" s="30">
        <f>SUM(B19:B21)</f>
        <v>1899.4246146664918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1899.4246146664918</v>
      </c>
    </row>
    <row r="24" spans="1:12" ht="13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2" ht="13">
      <c r="A25" s="713" t="s">
        <v>455</v>
      </c>
      <c r="B25" s="73">
        <f>B19*Inputs!$C$5</f>
        <v>114.00802289559381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114.00802289559381</v>
      </c>
    </row>
    <row r="26" spans="1:12" ht="13">
      <c r="A26" s="713" t="s">
        <v>456</v>
      </c>
      <c r="B26" s="73">
        <f>B20*Inputs!$C$6</f>
        <v>15.877519113894259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15.877519113894259</v>
      </c>
    </row>
    <row r="27" spans="1:12" ht="16">
      <c r="A27" s="713" t="s">
        <v>457</v>
      </c>
      <c r="B27" s="458">
        <f>B21*Inputs!$C$7</f>
        <v>27.853598878204437</v>
      </c>
      <c r="C27" s="458"/>
      <c r="D27" s="458"/>
      <c r="E27" s="458"/>
      <c r="F27" s="458"/>
      <c r="G27" s="458"/>
      <c r="H27" s="458"/>
      <c r="I27" s="458"/>
      <c r="J27" s="458"/>
      <c r="K27" s="458"/>
      <c r="L27" s="457">
        <f>L21*Inputs!$C$7</f>
        <v>27.853598878204437</v>
      </c>
    </row>
    <row r="28" spans="1:12" ht="13">
      <c r="A28" s="86" t="s">
        <v>275</v>
      </c>
      <c r="B28" s="73">
        <f>SUM(B25:B27)</f>
        <v>157.73914088769249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157.73914088769249</v>
      </c>
    </row>
    <row r="29" spans="1:12" ht="13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2" ht="13">
      <c r="A30" s="36" t="s">
        <v>50</v>
      </c>
      <c r="B30" s="30">
        <f>'Distribution O&amp;M Allocations'!B20</f>
        <v>15.892093597412092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'Distribution O&amp;M Allocations'!L20</f>
        <v>15.892093597412092</v>
      </c>
    </row>
    <row r="31" spans="1:12" ht="13">
      <c r="A31" s="1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40"/>
    </row>
    <row r="32" spans="1:12" ht="13">
      <c r="A32" s="36" t="s">
        <v>57</v>
      </c>
      <c r="B32" s="610">
        <v>26.486575578273055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>(B32*'Resid Cust Fcst '!$H$40+H32*'Resid Cust Fcst '!$AX$40)/'Resid Cust Fcst '!$BZ$40</f>
        <v>26.486575578273055</v>
      </c>
    </row>
    <row r="33" spans="1:14" ht="13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</row>
    <row r="34" spans="1:14" ht="13">
      <c r="A34" s="36" t="s">
        <v>82</v>
      </c>
      <c r="B34" s="30">
        <f t="shared" ref="B34:L34" si="3">B28+B30+B32</f>
        <v>200.11781006337765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 t="shared" si="3"/>
        <v>200.11781006337765</v>
      </c>
      <c r="N34" s="31"/>
    </row>
    <row r="35" spans="1:14" ht="13.5" thickBot="1">
      <c r="A35" s="15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8"/>
    </row>
    <row r="36" spans="1:14">
      <c r="A36" s="85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4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452"/>
    </row>
    <row r="39" spans="1:14">
      <c r="A39" t="s">
        <v>3</v>
      </c>
    </row>
    <row r="47" spans="1:14">
      <c r="A47" s="19"/>
    </row>
    <row r="59" spans="1:1">
      <c r="A59" s="19"/>
    </row>
  </sheetData>
  <mergeCells count="1">
    <mergeCell ref="A1:L1"/>
  </mergeCells>
  <phoneticPr fontId="0" type="noConversion"/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rgb="FFC00000"/>
    <pageSetUpPr fitToPage="1"/>
  </sheetPr>
  <dimension ref="A1:N61"/>
  <sheetViews>
    <sheetView topLeftCell="A26" zoomScaleNormal="100" workbookViewId="0">
      <selection activeCell="B34" sqref="B34"/>
    </sheetView>
  </sheetViews>
  <sheetFormatPr defaultRowHeight="12.5"/>
  <cols>
    <col min="1" max="1" width="40.7265625" customWidth="1"/>
    <col min="2" max="12" width="10.26953125" customWidth="1"/>
    <col min="13" max="13" width="15" bestFit="1" customWidth="1"/>
  </cols>
  <sheetData>
    <row r="1" spans="1:14" ht="18.5" thickBot="1">
      <c r="A1" s="750" t="s">
        <v>297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 ht="13">
      <c r="A2" s="559"/>
      <c r="B2" s="557"/>
      <c r="C2" s="557"/>
      <c r="D2" s="557"/>
      <c r="E2" s="557"/>
      <c r="F2" s="557"/>
      <c r="G2" s="557"/>
      <c r="H2" s="557"/>
      <c r="I2" s="557"/>
      <c r="J2" s="557"/>
      <c r="K2" s="557"/>
      <c r="L2" s="558"/>
    </row>
    <row r="3" spans="1:14" ht="13.5" thickBot="1">
      <c r="A3" s="560" t="s">
        <v>47</v>
      </c>
      <c r="B3" s="561" t="s">
        <v>28</v>
      </c>
      <c r="C3" s="561" t="s">
        <v>29</v>
      </c>
      <c r="D3" s="561" t="s">
        <v>30</v>
      </c>
      <c r="E3" s="561" t="s">
        <v>31</v>
      </c>
      <c r="F3" s="561" t="s">
        <v>68</v>
      </c>
      <c r="G3" s="561" t="s">
        <v>66</v>
      </c>
      <c r="H3" s="561" t="s">
        <v>287</v>
      </c>
      <c r="I3" s="561" t="s">
        <v>67</v>
      </c>
      <c r="J3" s="561" t="s">
        <v>89</v>
      </c>
      <c r="K3" s="561" t="s">
        <v>88</v>
      </c>
      <c r="L3" s="562" t="s">
        <v>48</v>
      </c>
    </row>
    <row r="4" spans="1:14" ht="13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4" ht="13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4" ht="13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4" ht="13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5" t="s">
        <v>86</v>
      </c>
    </row>
    <row r="8" spans="1:14" ht="13">
      <c r="A8" s="36" t="s">
        <v>53</v>
      </c>
      <c r="B8" s="134">
        <f>'Resid TSM Sum by Rate Schedule'!B8*Inputs!$C$12</f>
        <v>1464.5655162551914</v>
      </c>
      <c r="C8" s="134"/>
      <c r="D8" s="134"/>
      <c r="E8" s="134"/>
      <c r="F8" s="134"/>
      <c r="G8" s="134"/>
      <c r="H8" s="134"/>
      <c r="I8" s="134"/>
      <c r="J8" s="134"/>
      <c r="K8" s="134"/>
      <c r="L8" s="44">
        <f>'Resid TSM Sum by Rate Schedule'!L8*Inputs!$C$12</f>
        <v>1464.5655162551914</v>
      </c>
      <c r="M8" s="276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  <c r="N8" s="392"/>
    </row>
    <row r="9" spans="1:14" ht="13">
      <c r="A9" s="36" t="s">
        <v>51</v>
      </c>
      <c r="B9" s="134">
        <f>'Resid TSM Sum by Rate Schedule'!B9*Inputs!$C$12</f>
        <v>231.92979208072407</v>
      </c>
      <c r="C9" s="134"/>
      <c r="D9" s="134"/>
      <c r="E9" s="134"/>
      <c r="F9" s="134"/>
      <c r="G9" s="134"/>
      <c r="H9" s="134"/>
      <c r="I9" s="134"/>
      <c r="J9" s="134"/>
      <c r="K9" s="134"/>
      <c r="L9" s="44">
        <f>'Resid TSM Sum by Rate Schedule'!L9*Inputs!$C$12</f>
        <v>231.92979208072407</v>
      </c>
      <c r="M9" s="276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  <c r="N9" s="392"/>
    </row>
    <row r="10" spans="1:14" ht="13">
      <c r="A10" s="36" t="s">
        <v>52</v>
      </c>
      <c r="B10" s="134">
        <f>'Resid TSM Sum by Rate Schedule'!B10*Inputs!$C$12</f>
        <v>267.20949310143357</v>
      </c>
      <c r="C10" s="134"/>
      <c r="D10" s="134"/>
      <c r="E10" s="134"/>
      <c r="F10" s="134"/>
      <c r="G10" s="134"/>
      <c r="H10" s="134"/>
      <c r="I10" s="134"/>
      <c r="J10" s="134"/>
      <c r="K10" s="134"/>
      <c r="L10" s="44">
        <f>'Resid TSM Sum by Rate Schedule'!L10*Inputs!$C$12</f>
        <v>267.20949310143357</v>
      </c>
      <c r="M10" s="276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  <c r="N10" s="392"/>
    </row>
    <row r="11" spans="1:14" ht="13">
      <c r="A11" s="38"/>
      <c r="B11" s="134"/>
      <c r="C11" s="134"/>
      <c r="D11" s="134"/>
      <c r="E11" s="134"/>
      <c r="F11" s="134"/>
      <c r="G11" s="308"/>
      <c r="H11" s="308"/>
      <c r="I11" s="308"/>
      <c r="J11" s="134"/>
      <c r="K11" s="134"/>
      <c r="L11" s="44"/>
      <c r="M11" s="276"/>
    </row>
    <row r="12" spans="1:14" ht="13">
      <c r="A12" s="36" t="s">
        <v>35</v>
      </c>
      <c r="B12" s="134">
        <f t="shared" ref="B12:L12" si="0">SUM(B8:B10)</f>
        <v>1963.704801437349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1963.704801437349</v>
      </c>
      <c r="M12" s="276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4" ht="13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4" ht="13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4" ht="13">
      <c r="A15" s="47">
        <f>Inputs!C3</f>
        <v>2.9094935671404847E-2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4" ht="13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3" ht="13">
      <c r="A17" s="47">
        <f>Inputs!C4</f>
        <v>1.99475E-2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3" ht="13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3" ht="13">
      <c r="A19" s="94" t="s">
        <v>92</v>
      </c>
      <c r="B19" s="30">
        <f t="shared" ref="B19:L21" si="1">(B8*(1+$A$15)*(1+$A$17))</f>
        <v>1537.2413680617615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1537.2413680617615</v>
      </c>
    </row>
    <row r="20" spans="1:13" ht="13">
      <c r="A20" s="94" t="s">
        <v>51</v>
      </c>
      <c r="B20" s="30">
        <f t="shared" si="1"/>
        <v>243.43879936766768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243.43879936766768</v>
      </c>
    </row>
    <row r="21" spans="1:13" ht="13">
      <c r="A21" s="94" t="s">
        <v>52</v>
      </c>
      <c r="B21" s="30">
        <f t="shared" si="1"/>
        <v>280.4691781796426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280.4691781796426</v>
      </c>
    </row>
    <row r="22" spans="1:13" ht="13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3" ht="13">
      <c r="A23" s="36" t="s">
        <v>35</v>
      </c>
      <c r="B23" s="30">
        <f>SUM(B19:B21)</f>
        <v>2061.149345609072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2061.149345609072</v>
      </c>
    </row>
    <row r="24" spans="1:13" ht="13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3" ht="13">
      <c r="A25" s="94" t="str">
        <f>'Resid TSM Sum by Rate Schedule'!A25</f>
        <v>Annualized Transformer Cost at 8.05%</v>
      </c>
      <c r="B25" s="73">
        <f>B19*Inputs!$C$5</f>
        <v>123.71512929282392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123.71512929282392</v>
      </c>
    </row>
    <row r="26" spans="1:13" ht="13">
      <c r="A26" s="94" t="str">
        <f>'Resid TSM Sum by Rate Schedule'!A26</f>
        <v>Annualized Services Cost at 7.08%</v>
      </c>
      <c r="B26" s="73">
        <f>B20*Inputs!$C$6</f>
        <v>17.229395617390598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17.229395617390598</v>
      </c>
    </row>
    <row r="27" spans="1:13" ht="16">
      <c r="A27" s="94" t="str">
        <f>'Resid TSM Sum by Rate Schedule'!A27</f>
        <v>Annualized Meter Cost at 10.78%</v>
      </c>
      <c r="B27" s="458">
        <f>B21*Inputs!$C$7</f>
        <v>30.225167483548162</v>
      </c>
      <c r="C27" s="458"/>
      <c r="D27" s="458"/>
      <c r="E27" s="458"/>
      <c r="F27" s="458"/>
      <c r="G27" s="458"/>
      <c r="H27" s="458"/>
      <c r="I27" s="458"/>
      <c r="J27" s="458"/>
      <c r="K27" s="458"/>
      <c r="L27" s="457">
        <f>L21*Inputs!$C$7</f>
        <v>30.225167483548162</v>
      </c>
    </row>
    <row r="28" spans="1:13" ht="13">
      <c r="A28" s="86" t="s">
        <v>275</v>
      </c>
      <c r="B28" s="73">
        <f>SUM(B25:B27)</f>
        <v>171.16969239376266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171.16969239376266</v>
      </c>
    </row>
    <row r="29" spans="1:13" ht="13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3" ht="13">
      <c r="A30" s="36" t="s">
        <v>50</v>
      </c>
      <c r="B30" s="30">
        <f>'Resid TSM Sum by Rate Schedule'!B$30*Inputs!$C$13</f>
        <v>16.743079193755374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'Resid TSM Sum by Rate Schedule'!L$30*Inputs!$C$13</f>
        <v>16.743079193755374</v>
      </c>
    </row>
    <row r="31" spans="1:13" ht="16">
      <c r="A31" s="36" t="s">
        <v>329</v>
      </c>
      <c r="B31" s="545">
        <f>-Inputs!$C$18</f>
        <v>-3.0284021924274875</v>
      </c>
      <c r="C31" s="545"/>
      <c r="D31" s="545"/>
      <c r="E31" s="545"/>
      <c r="F31" s="545"/>
      <c r="G31" s="545"/>
      <c r="H31" s="545"/>
      <c r="I31" s="545"/>
      <c r="J31" s="545"/>
      <c r="K31" s="545"/>
      <c r="L31" s="547">
        <f>-Inputs!$C$18</f>
        <v>-3.0284021924274875</v>
      </c>
    </row>
    <row r="32" spans="1:13" ht="13">
      <c r="A32" s="36" t="s">
        <v>328</v>
      </c>
      <c r="B32" s="30">
        <f>B30+B31</f>
        <v>13.714677001327887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 t="shared" ref="L32" si="3">L30+L31</f>
        <v>13.714677001327887</v>
      </c>
      <c r="M32" s="31"/>
    </row>
    <row r="33" spans="1:14" ht="13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  <c r="M33" s="31"/>
    </row>
    <row r="34" spans="1:14" ht="13">
      <c r="A34" s="36" t="s">
        <v>57</v>
      </c>
      <c r="B34" s="30">
        <f>'Resid TSM Sum by Rate Schedule'!B32*Inputs!$C$14</f>
        <v>28.478866312568123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>'Resid TSM Sum by Rate Schedule'!L32*Inputs!$C$14</f>
        <v>28.478866312568123</v>
      </c>
      <c r="M34" s="31"/>
    </row>
    <row r="35" spans="1:14" ht="13">
      <c r="A35" s="1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40"/>
      <c r="M35" s="31"/>
    </row>
    <row r="36" spans="1:14" ht="13">
      <c r="A36" s="36" t="s">
        <v>82</v>
      </c>
      <c r="B36" s="30">
        <f t="shared" ref="B36:L36" si="4">B28+B32+B34</f>
        <v>213.36323570765867</v>
      </c>
      <c r="C36" s="30"/>
      <c r="D36" s="30"/>
      <c r="E36" s="30"/>
      <c r="F36" s="30"/>
      <c r="G36" s="30"/>
      <c r="H36" s="30"/>
      <c r="I36" s="30"/>
      <c r="J36" s="30"/>
      <c r="K36" s="30"/>
      <c r="L36" s="40">
        <f t="shared" si="4"/>
        <v>213.36323570765867</v>
      </c>
      <c r="M36" s="31"/>
      <c r="N36" s="31"/>
    </row>
    <row r="37" spans="1:14" ht="13.5" thickBot="1">
      <c r="A37" s="15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8"/>
    </row>
    <row r="38" spans="1:14">
      <c r="A38" s="85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4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31"/>
    </row>
    <row r="40" spans="1:14">
      <c r="L40" s="31"/>
    </row>
    <row r="41" spans="1:14">
      <c r="A41" t="s">
        <v>3</v>
      </c>
    </row>
    <row r="49" spans="1:1">
      <c r="A49" s="19"/>
    </row>
    <row r="61" spans="1:1">
      <c r="A61" s="19"/>
    </row>
  </sheetData>
  <mergeCells count="1">
    <mergeCell ref="A1:L1"/>
  </mergeCells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AE56"/>
  <sheetViews>
    <sheetView topLeftCell="A3" zoomScaleNormal="100" workbookViewId="0">
      <selection activeCell="A10" sqref="A10"/>
    </sheetView>
  </sheetViews>
  <sheetFormatPr defaultRowHeight="12.5"/>
  <cols>
    <col min="1" max="1" width="39" customWidth="1"/>
    <col min="2" max="2" width="12.81640625" bestFit="1" customWidth="1"/>
    <col min="3" max="3" width="11.26953125" bestFit="1" customWidth="1"/>
    <col min="4" max="4" width="12.26953125" bestFit="1" customWidth="1"/>
    <col min="5" max="5" width="9.26953125" bestFit="1" customWidth="1"/>
    <col min="6" max="6" width="12.81640625" bestFit="1" customWidth="1"/>
    <col min="7" max="7" width="11.26953125" bestFit="1" customWidth="1"/>
    <col min="8" max="8" width="10.26953125" bestFit="1" customWidth="1"/>
    <col min="9" max="9" width="11.26953125" bestFit="1" customWidth="1"/>
    <col min="10" max="10" width="12.81640625" customWidth="1"/>
    <col min="11" max="11" width="12.26953125" customWidth="1"/>
    <col min="12" max="12" width="12.26953125" bestFit="1" customWidth="1"/>
    <col min="13" max="13" width="10.26953125" bestFit="1" customWidth="1"/>
    <col min="14" max="14" width="12.81640625" customWidth="1"/>
    <col min="15" max="15" width="10" customWidth="1"/>
    <col min="16" max="17" width="10.26953125" bestFit="1" customWidth="1"/>
    <col min="18" max="18" width="12.81640625" bestFit="1" customWidth="1"/>
    <col min="19" max="20" width="12.26953125" bestFit="1" customWidth="1"/>
    <col min="21" max="21" width="11.26953125" bestFit="1" customWidth="1"/>
    <col min="22" max="22" width="12.81640625" bestFit="1" customWidth="1"/>
    <col min="23" max="25" width="10.26953125" customWidth="1"/>
    <col min="26" max="29" width="13.81640625" customWidth="1"/>
  </cols>
  <sheetData>
    <row r="1" spans="1:31" ht="18.5" thickBot="1">
      <c r="A1" s="750" t="s">
        <v>81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31" ht="13.5" thickBot="1">
      <c r="A2" s="103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123</v>
      </c>
      <c r="AA2" s="744"/>
      <c r="AB2" s="744"/>
      <c r="AC2" s="746"/>
    </row>
    <row r="3" spans="1:31" ht="13">
      <c r="A3" s="160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1" t="s">
        <v>96</v>
      </c>
      <c r="K3" s="752"/>
      <c r="L3" s="752"/>
      <c r="M3" s="753"/>
      <c r="N3" s="751" t="s">
        <v>94</v>
      </c>
      <c r="O3" s="752"/>
      <c r="P3" s="752"/>
      <c r="Q3" s="753"/>
      <c r="R3" s="745" t="s">
        <v>118</v>
      </c>
      <c r="S3" s="752"/>
      <c r="T3" s="752"/>
      <c r="U3" s="753"/>
      <c r="V3" s="266"/>
      <c r="W3" s="267"/>
      <c r="X3" s="267"/>
      <c r="Y3" s="268"/>
      <c r="Z3" s="266"/>
      <c r="AA3" s="267"/>
      <c r="AB3" s="267"/>
      <c r="AC3" s="268"/>
    </row>
    <row r="4" spans="1:31" ht="13.5" thickBot="1">
      <c r="A4" s="77" t="s">
        <v>4</v>
      </c>
      <c r="B4" s="269" t="s">
        <v>36</v>
      </c>
      <c r="C4" s="270" t="s">
        <v>37</v>
      </c>
      <c r="D4" s="270" t="s">
        <v>38</v>
      </c>
      <c r="E4" s="271" t="s">
        <v>41</v>
      </c>
      <c r="F4" s="269" t="s">
        <v>36</v>
      </c>
      <c r="G4" s="270" t="s">
        <v>37</v>
      </c>
      <c r="H4" s="270" t="s">
        <v>38</v>
      </c>
      <c r="I4" s="271" t="s">
        <v>41</v>
      </c>
      <c r="J4" s="269" t="s">
        <v>36</v>
      </c>
      <c r="K4" s="270" t="s">
        <v>37</v>
      </c>
      <c r="L4" s="270" t="s">
        <v>40</v>
      </c>
      <c r="M4" s="271" t="s">
        <v>41</v>
      </c>
      <c r="N4" s="269" t="s">
        <v>36</v>
      </c>
      <c r="O4" s="270" t="s">
        <v>37</v>
      </c>
      <c r="P4" s="270" t="s">
        <v>40</v>
      </c>
      <c r="Q4" s="271" t="s">
        <v>41</v>
      </c>
      <c r="R4" s="269" t="s">
        <v>36</v>
      </c>
      <c r="S4" s="270" t="s">
        <v>37</v>
      </c>
      <c r="T4" s="270" t="s">
        <v>38</v>
      </c>
      <c r="U4" s="271" t="s">
        <v>41</v>
      </c>
      <c r="V4" s="269" t="s">
        <v>36</v>
      </c>
      <c r="W4" s="270" t="s">
        <v>37</v>
      </c>
      <c r="X4" s="270" t="s">
        <v>40</v>
      </c>
      <c r="Y4" s="271" t="s">
        <v>41</v>
      </c>
      <c r="Z4" s="269" t="s">
        <v>36</v>
      </c>
      <c r="AA4" s="270" t="s">
        <v>37</v>
      </c>
      <c r="AB4" s="270" t="s">
        <v>40</v>
      </c>
      <c r="AC4" s="271" t="s">
        <v>41</v>
      </c>
    </row>
    <row r="5" spans="1:31" ht="13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31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31" ht="13">
      <c r="A7" s="124" t="s">
        <v>5</v>
      </c>
      <c r="B7" s="109">
        <f>'Resid Cust Fcst '!$B8*'Resid TSM UC Adj'!B7</f>
        <v>0</v>
      </c>
      <c r="C7" s="23">
        <f>'Resid Cust Fcst '!$B8*'Resid TSM UC Adj'!C7</f>
        <v>0</v>
      </c>
      <c r="D7" s="23">
        <f>'Resid Cust Fcst '!$B8*'Resid TSM UC Adj'!D7</f>
        <v>0</v>
      </c>
      <c r="E7" s="41">
        <f>IF(SUM(B7:D7)=0,0,SUM(B7:D7)/'Resid Cust Fcst '!B8)</f>
        <v>0</v>
      </c>
      <c r="F7" s="109">
        <f>'Resid Cust Fcst '!$C8*'Resid TSM UC Adj'!F7</f>
        <v>0</v>
      </c>
      <c r="G7" s="23">
        <f>'Resid Cust Fcst '!$C8*'Resid TSM UC Adj'!G7</f>
        <v>0</v>
      </c>
      <c r="H7" s="23">
        <f>'Resid Cust Fcst '!$C8*'Resid TSM UC Adj'!H7</f>
        <v>0</v>
      </c>
      <c r="I7" s="41">
        <f>IF(SUM(F7:H7)=0,0,SUM(F7:H7)/'Resid Cust Fcst '!C8)</f>
        <v>0</v>
      </c>
      <c r="J7" s="109">
        <f>'Resid Cust Fcst '!$D8*'Resid TSM UC Adj'!J7</f>
        <v>0</v>
      </c>
      <c r="K7" s="23">
        <f>'Resid Cust Fcst '!$D8*'Resid TSM UC Adj'!K7</f>
        <v>0</v>
      </c>
      <c r="L7" s="23">
        <f>'Resid Cust Fcst '!$D8*'Resid TSM UC Adj'!L7</f>
        <v>0</v>
      </c>
      <c r="M7" s="41">
        <f>IF(SUM(J7:L7)=0,0,SUM(J7:L7)/'Resid Cust Fcst '!D8)</f>
        <v>0</v>
      </c>
      <c r="N7" s="109">
        <f>'Resid Cust Fcst '!$E8*'Resid TSM UC Adj'!N7</f>
        <v>0</v>
      </c>
      <c r="O7" s="23">
        <f>'Resid Cust Fcst '!$E8*'Resid TSM UC Adj'!O7</f>
        <v>0</v>
      </c>
      <c r="P7" s="23">
        <f>'Resid Cust Fcst '!$E8*'Resid TSM UC Adj'!P7</f>
        <v>0</v>
      </c>
      <c r="Q7" s="41">
        <f>IF(SUM(N7:P7)=0,0,SUM(N7:P7)/'Resid Cust Fcst '!E8)</f>
        <v>0</v>
      </c>
      <c r="R7" s="109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IF(SUM(R7:T7)=0,0,SUM(R7:T7)/'Resid Cust Fcst '!F8)</f>
        <v>0</v>
      </c>
      <c r="V7" s="109">
        <f>'Resid Cust Fcst '!$G8*'Resid TSM UC Adj'!R7</f>
        <v>0</v>
      </c>
      <c r="W7" s="23">
        <f>'Resid Cust Fcst '!$G8*'Resid TSM UC Adj'!S7</f>
        <v>0</v>
      </c>
      <c r="X7" s="23">
        <f>'Resid Cust Fcst '!$G8*'Resid TSM UC Adj'!T7</f>
        <v>0</v>
      </c>
      <c r="Y7" s="41">
        <f>IF(SUM(V7:X7)=0,0,SUM(V7:X7)/'Resid Cust Fcst '!G8)</f>
        <v>0</v>
      </c>
      <c r="Z7" s="109">
        <f>R7+V7</f>
        <v>0</v>
      </c>
      <c r="AA7" s="23">
        <f t="shared" ref="AA7:AB22" si="1">S7+W7</f>
        <v>0</v>
      </c>
      <c r="AB7" s="23">
        <f t="shared" si="1"/>
        <v>0</v>
      </c>
      <c r="AC7" s="41">
        <f>IF(SUM(Z7:AB7)=0,0,SUM(Z7:AB7)/'Resid Cust Fcst '!H8)</f>
        <v>0</v>
      </c>
      <c r="AE7" s="31"/>
    </row>
    <row r="8" spans="1:31" ht="13">
      <c r="A8" s="126" t="s">
        <v>6</v>
      </c>
      <c r="B8" s="109">
        <f>'Resid Cust Fcst '!$B9*'Resid TSM UC Adj'!B8</f>
        <v>0</v>
      </c>
      <c r="C8" s="23">
        <f>'Resid Cust Fcst '!$B9*'Resid TSM UC Adj'!C8</f>
        <v>0</v>
      </c>
      <c r="D8" s="23">
        <f>'Resid Cust Fcst '!$B9*'Resid TSM UC Adj'!D8</f>
        <v>0</v>
      </c>
      <c r="E8" s="41">
        <f>IF(SUM(B8:D8)=0,0,SUM(B8:D8)/'Resid Cust Fcst '!B9)</f>
        <v>0</v>
      </c>
      <c r="F8" s="109">
        <f>'Resid Cust Fcst '!$C9*'Resid TSM UC Adj'!F8</f>
        <v>0</v>
      </c>
      <c r="G8" s="23">
        <f>'Resid Cust Fcst '!$C9*'Resid TSM UC Adj'!G8</f>
        <v>0</v>
      </c>
      <c r="H8" s="23">
        <f>'Resid Cust Fcst '!$C9*'Resid TSM UC Adj'!H8</f>
        <v>0</v>
      </c>
      <c r="I8" s="41">
        <f>IF(SUM(F8:H8)=0,0,SUM(F8:H8)/'Resid Cust Fcst '!C9)</f>
        <v>0</v>
      </c>
      <c r="J8" s="109">
        <f>'Resid Cust Fcst '!$D9*'Resid TSM UC Adj'!J8</f>
        <v>0</v>
      </c>
      <c r="K8" s="23">
        <f>'Resid Cust Fcst '!$D9*'Resid TSM UC Adj'!K8</f>
        <v>0</v>
      </c>
      <c r="L8" s="23">
        <f>'Resid Cust Fcst '!$D9*'Resid TSM UC Adj'!L8</f>
        <v>0</v>
      </c>
      <c r="M8" s="41">
        <f>IF(SUM(J8:L8)=0,0,SUM(J8:L8)/'Resid Cust Fcst '!D9)</f>
        <v>0</v>
      </c>
      <c r="N8" s="109">
        <f>'Resid Cust Fcst '!$E9*'Resid TSM UC Adj'!N8</f>
        <v>0</v>
      </c>
      <c r="O8" s="23">
        <f>'Resid Cust Fcst '!$E9*'Resid TSM UC Adj'!O8</f>
        <v>0</v>
      </c>
      <c r="P8" s="23">
        <f>'Resid Cust Fcst '!$E9*'Resid TSM UC Adj'!P8</f>
        <v>0</v>
      </c>
      <c r="Q8" s="41">
        <f>IF(SUM(N8:P8)=0,0,SUM(N8:P8)/'Resid Cust Fcst '!E9)</f>
        <v>0</v>
      </c>
      <c r="R8" s="109">
        <f t="shared" ref="R8:R37" si="2">B8+F8+J8+N8</f>
        <v>0</v>
      </c>
      <c r="S8" s="23">
        <f t="shared" si="0"/>
        <v>0</v>
      </c>
      <c r="T8" s="23">
        <f t="shared" si="0"/>
        <v>0</v>
      </c>
      <c r="U8" s="41">
        <f>IF(SUM(R8:T8)=0,0,SUM(R8:T8)/'Resid Cust Fcst '!F9)</f>
        <v>0</v>
      </c>
      <c r="V8" s="109">
        <f>'Resid Cust Fcst '!$G9*'Resid TSM UC Adj'!R8</f>
        <v>0</v>
      </c>
      <c r="W8" s="23">
        <f>'Resid Cust Fcst '!$G9*'Resid TSM UC Adj'!S8</f>
        <v>0</v>
      </c>
      <c r="X8" s="23">
        <f>'Resid Cust Fcst '!$G9*'Resid TSM UC Adj'!T8</f>
        <v>0</v>
      </c>
      <c r="Y8" s="41">
        <f>IF(SUM(V8:X8)=0,0,SUM(V8:X8)/'Resid Cust Fcst '!G9)</f>
        <v>0</v>
      </c>
      <c r="Z8" s="109">
        <f t="shared" ref="Z8:Z37" si="3">R8+V8</f>
        <v>0</v>
      </c>
      <c r="AA8" s="23">
        <f t="shared" si="1"/>
        <v>0</v>
      </c>
      <c r="AB8" s="23">
        <f t="shared" si="1"/>
        <v>0</v>
      </c>
      <c r="AC8" s="41">
        <f>IF(SUM(Z8:AB8)=0,0,SUM(Z8:AB8)/'Resid Cust Fcst '!H9)</f>
        <v>0</v>
      </c>
    </row>
    <row r="9" spans="1:31" ht="13">
      <c r="A9" s="126" t="s">
        <v>7</v>
      </c>
      <c r="B9" s="109">
        <f>'Resid Cust Fcst '!$B10*'Resid TSM UC Adj'!B9</f>
        <v>0</v>
      </c>
      <c r="C9" s="23">
        <f>'Resid Cust Fcst '!$B10*'Resid TSM UC Adj'!C9</f>
        <v>0</v>
      </c>
      <c r="D9" s="23">
        <f>'Resid Cust Fcst '!$B10*'Resid TSM UC Adj'!D9</f>
        <v>0</v>
      </c>
      <c r="E9" s="41">
        <f>IF(SUM(B9:D9)=0,0,SUM(B9:D9)/'Resid Cust Fcst '!B10)</f>
        <v>0</v>
      </c>
      <c r="F9" s="109">
        <f>'Resid Cust Fcst '!$C10*'Resid TSM UC Adj'!F9</f>
        <v>0</v>
      </c>
      <c r="G9" s="23">
        <f>'Resid Cust Fcst '!$C10*'Resid TSM UC Adj'!G9</f>
        <v>0</v>
      </c>
      <c r="H9" s="23">
        <f>'Resid Cust Fcst '!$C10*'Resid TSM UC Adj'!H9</f>
        <v>0</v>
      </c>
      <c r="I9" s="41">
        <f>IF(SUM(F9:H9)=0,0,SUM(F9:H9)/'Resid Cust Fcst '!C10)</f>
        <v>0</v>
      </c>
      <c r="J9" s="109">
        <f>'Resid Cust Fcst '!$D10*'Resid TSM UC Adj'!J9</f>
        <v>0</v>
      </c>
      <c r="K9" s="23">
        <f>'Resid Cust Fcst '!$D10*'Resid TSM UC Adj'!K9</f>
        <v>0</v>
      </c>
      <c r="L9" s="23">
        <f>'Resid Cust Fcst '!$D10*'Resid TSM UC Adj'!L9</f>
        <v>0</v>
      </c>
      <c r="M9" s="41">
        <f>IF(SUM(J9:L9)=0,0,SUM(J9:L9)/'Resid Cust Fcst '!D10)</f>
        <v>0</v>
      </c>
      <c r="N9" s="109">
        <f>'Resid Cust Fcst '!$E10*'Resid TSM UC Adj'!N9</f>
        <v>0</v>
      </c>
      <c r="O9" s="23">
        <f>'Resid Cust Fcst '!$E10*'Resid TSM UC Adj'!O9</f>
        <v>0</v>
      </c>
      <c r="P9" s="23">
        <f>'Resid Cust Fcst '!$E10*'Resid TSM UC Adj'!P9</f>
        <v>0</v>
      </c>
      <c r="Q9" s="41">
        <f>IF(SUM(N9:P9)=0,0,SUM(N9:P9)/'Resid Cust Fcst '!E10)</f>
        <v>0</v>
      </c>
      <c r="R9" s="109">
        <f t="shared" si="2"/>
        <v>0</v>
      </c>
      <c r="S9" s="23">
        <f t="shared" si="0"/>
        <v>0</v>
      </c>
      <c r="T9" s="23">
        <f t="shared" si="0"/>
        <v>0</v>
      </c>
      <c r="U9" s="41">
        <f>IF(SUM(R9:T9)=0,0,SUM(R9:T9)/'Resid Cust Fcst '!F10)</f>
        <v>0</v>
      </c>
      <c r="V9" s="109">
        <f>'Resid Cust Fcst '!$G10*'Resid TSM UC Adj'!R9</f>
        <v>0</v>
      </c>
      <c r="W9" s="23">
        <f>'Resid Cust Fcst '!$G10*'Resid TSM UC Adj'!S9</f>
        <v>0</v>
      </c>
      <c r="X9" s="23">
        <f>'Resid Cust Fcst '!$G10*'Resid TSM UC Adj'!T9</f>
        <v>0</v>
      </c>
      <c r="Y9" s="41">
        <f>IF(SUM(V9:X9)=0,0,SUM(V9:X9)/'Resid Cust Fcst '!G10)</f>
        <v>0</v>
      </c>
      <c r="Z9" s="109">
        <f t="shared" si="3"/>
        <v>0</v>
      </c>
      <c r="AA9" s="23">
        <f t="shared" si="1"/>
        <v>0</v>
      </c>
      <c r="AB9" s="23">
        <f t="shared" si="1"/>
        <v>0</v>
      </c>
      <c r="AC9" s="41">
        <f>IF(SUM(Z9:AB9)=0,0,SUM(Z9:AB9)/'Resid Cust Fcst '!H10)</f>
        <v>0</v>
      </c>
    </row>
    <row r="10" spans="1:31" s="52" customFormat="1" ht="13">
      <c r="A10" s="216" t="s">
        <v>105</v>
      </c>
      <c r="B10" s="109">
        <f>'Resid Cust Fcst '!$B11*'Resid TSM UC Adj'!B10</f>
        <v>1349.6507651389106</v>
      </c>
      <c r="C10" s="23">
        <f>'Resid Cust Fcst '!$B11*'Resid TSM UC Adj'!C10</f>
        <v>213.73179817905475</v>
      </c>
      <c r="D10" s="23">
        <f>'Resid Cust Fcst '!$B11*'Resid TSM UC Adj'!D10</f>
        <v>246.24333484162895</v>
      </c>
      <c r="E10" s="41">
        <f>IF(SUM(B10:D10)=0,0,SUM(B10:D10)/'Resid Cust Fcst '!B11)</f>
        <v>1809.6258981595943</v>
      </c>
      <c r="F10" s="109">
        <f>'Resid Cust Fcst '!$C11*'Resid TSM UC Adj'!F10</f>
        <v>0</v>
      </c>
      <c r="G10" s="23">
        <f>'Resid Cust Fcst '!$C11*'Resid TSM UC Adj'!G10</f>
        <v>0</v>
      </c>
      <c r="H10" s="23">
        <f>'Resid Cust Fcst '!$C11*'Resid TSM UC Adj'!H10</f>
        <v>0</v>
      </c>
      <c r="I10" s="41">
        <f>IF(SUM(F10:H10)=0,0,SUM(F10:H10)/'Resid Cust Fcst '!C11)</f>
        <v>0</v>
      </c>
      <c r="J10" s="109">
        <f>'Resid Cust Fcst '!$D11*'Resid TSM UC Adj'!J10</f>
        <v>0</v>
      </c>
      <c r="K10" s="23">
        <f>'Resid Cust Fcst '!$D11*'Resid TSM UC Adj'!K10</f>
        <v>0</v>
      </c>
      <c r="L10" s="23">
        <f>'Resid Cust Fcst '!$D11*'Resid TSM UC Adj'!L10</f>
        <v>0</v>
      </c>
      <c r="M10" s="41">
        <f>IF(SUM(J10:L10)=0,0,SUM(J10:L10)/'Resid Cust Fcst '!D11)</f>
        <v>0</v>
      </c>
      <c r="N10" s="109">
        <f>'Resid Cust Fcst '!$E11*'Resid TSM UC Adj'!N10</f>
        <v>0</v>
      </c>
      <c r="O10" s="23">
        <f>'Resid Cust Fcst '!$E11*'Resid TSM UC Adj'!O10</f>
        <v>0</v>
      </c>
      <c r="P10" s="23">
        <f>'Resid Cust Fcst '!$E11*'Resid TSM UC Adj'!P10</f>
        <v>0</v>
      </c>
      <c r="Q10" s="41">
        <f>IF(SUM(N10:P10)=0,0,SUM(N10:P10)/'Resid Cust Fcst '!E11)</f>
        <v>0</v>
      </c>
      <c r="R10" s="109">
        <f t="shared" si="2"/>
        <v>1349.6507651389106</v>
      </c>
      <c r="S10" s="23">
        <f t="shared" si="0"/>
        <v>213.73179817905475</v>
      </c>
      <c r="T10" s="23">
        <f t="shared" si="0"/>
        <v>246.24333484162895</v>
      </c>
      <c r="U10" s="41">
        <f>IF(SUM(R10:T10)=0,0,SUM(R10:T10)/'Resid Cust Fcst '!F11)</f>
        <v>1809.6258981595943</v>
      </c>
      <c r="V10" s="109">
        <f>'Resid Cust Fcst '!$G11*'Resid TSM UC Adj'!R10</f>
        <v>0</v>
      </c>
      <c r="W10" s="23">
        <f>'Resid Cust Fcst '!$G11*'Resid TSM UC Adj'!S10</f>
        <v>0</v>
      </c>
      <c r="X10" s="23">
        <f>'Resid Cust Fcst '!$G11*'Resid TSM UC Adj'!T10</f>
        <v>0</v>
      </c>
      <c r="Y10" s="41">
        <f>IF(SUM(V10:X10)=0,0,SUM(V10:X10)/'Resid Cust Fcst '!G11)</f>
        <v>0</v>
      </c>
      <c r="Z10" s="109">
        <f t="shared" si="3"/>
        <v>1349.6507651389106</v>
      </c>
      <c r="AA10" s="23">
        <f t="shared" si="1"/>
        <v>213.73179817905475</v>
      </c>
      <c r="AB10" s="23">
        <f t="shared" si="1"/>
        <v>246.24333484162895</v>
      </c>
      <c r="AC10" s="41">
        <f>IF(SUM(Z10:AB10)=0,0,SUM(Z10:AB10)/'Resid Cust Fcst '!H11)</f>
        <v>1809.6258981595943</v>
      </c>
    </row>
    <row r="11" spans="1:31" ht="13">
      <c r="A11" s="124" t="s">
        <v>97</v>
      </c>
      <c r="B11" s="109">
        <f>'Resid Cust Fcst '!$B12*'Resid TSM UC Adj'!B11</f>
        <v>0</v>
      </c>
      <c r="C11" s="23">
        <f>'Resid Cust Fcst '!$B12*'Resid TSM UC Adj'!C11</f>
        <v>0</v>
      </c>
      <c r="D11" s="23">
        <f>'Resid Cust Fcst '!$B12*'Resid TSM UC Adj'!D11</f>
        <v>0</v>
      </c>
      <c r="E11" s="41">
        <f>IF(SUM(B11:D11)=0,0,SUM(B11:D11)/'Resid Cust Fcst '!B12)</f>
        <v>0</v>
      </c>
      <c r="F11" s="109">
        <f>'Resid Cust Fcst '!$C12*'Resid TSM UC Adj'!F11</f>
        <v>0</v>
      </c>
      <c r="G11" s="23">
        <f>'Resid Cust Fcst '!$C12*'Resid TSM UC Adj'!G11</f>
        <v>0</v>
      </c>
      <c r="H11" s="23">
        <f>'Resid Cust Fcst '!$C12*'Resid TSM UC Adj'!H11</f>
        <v>0</v>
      </c>
      <c r="I11" s="41">
        <f>IF(SUM(F11:H11)=0,0,SUM(F11:H11)/'Resid Cust Fcst '!C12)</f>
        <v>0</v>
      </c>
      <c r="J11" s="109">
        <f>'Resid Cust Fcst '!$D12*'Resid TSM UC Adj'!J11</f>
        <v>0</v>
      </c>
      <c r="K11" s="23">
        <f>'Resid Cust Fcst '!$D12*'Resid TSM UC Adj'!K11</f>
        <v>0</v>
      </c>
      <c r="L11" s="23">
        <f>'Resid Cust Fcst '!$D12*'Resid TSM UC Adj'!L11</f>
        <v>0</v>
      </c>
      <c r="M11" s="41">
        <f>IF(SUM(J11:L11)=0,0,SUM(J11:L11)/'Resid Cust Fcst '!D12)</f>
        <v>0</v>
      </c>
      <c r="N11" s="109">
        <f>'Resid Cust Fcst '!$E12*'Resid TSM UC Adj'!N11</f>
        <v>0</v>
      </c>
      <c r="O11" s="23">
        <f>'Resid Cust Fcst '!$E12*'Resid TSM UC Adj'!O11</f>
        <v>0</v>
      </c>
      <c r="P11" s="23">
        <f>'Resid Cust Fcst '!$E12*'Resid TSM UC Adj'!P11</f>
        <v>0</v>
      </c>
      <c r="Q11" s="41">
        <f>IF(SUM(N11:P11)=0,0,SUM(N11:P11)/'Resid Cust Fcst '!E12)</f>
        <v>0</v>
      </c>
      <c r="R11" s="109">
        <f t="shared" si="2"/>
        <v>0</v>
      </c>
      <c r="S11" s="23">
        <f t="shared" si="0"/>
        <v>0</v>
      </c>
      <c r="T11" s="23">
        <f t="shared" si="0"/>
        <v>0</v>
      </c>
      <c r="U11" s="41">
        <f>IF(SUM(R11:T11)=0,0,SUM(R11:T11)/'Resid Cust Fcst '!F12)</f>
        <v>0</v>
      </c>
      <c r="V11" s="109">
        <f>'Resid Cust Fcst '!$G12*'Resid TSM UC Adj'!R11</f>
        <v>0</v>
      </c>
      <c r="W11" s="23">
        <f>'Resid Cust Fcst '!$G12*'Resid TSM UC Adj'!S11</f>
        <v>0</v>
      </c>
      <c r="X11" s="23">
        <f>'Resid Cust Fcst '!$G12*'Resid TSM UC Adj'!T11</f>
        <v>0</v>
      </c>
      <c r="Y11" s="41">
        <f>IF(SUM(V11:X11)=0,0,SUM(V11:X11)/'Resid Cust Fcst '!G12)</f>
        <v>0</v>
      </c>
      <c r="Z11" s="109">
        <f t="shared" si="3"/>
        <v>0</v>
      </c>
      <c r="AA11" s="23">
        <f t="shared" si="1"/>
        <v>0</v>
      </c>
      <c r="AB11" s="23">
        <f t="shared" si="1"/>
        <v>0</v>
      </c>
      <c r="AC11" s="41">
        <f>IF(SUM(Z11:AB11)=0,0,SUM(Z11:AB11)/'Resid Cust Fcst '!H12)</f>
        <v>0</v>
      </c>
    </row>
    <row r="12" spans="1:31" ht="13">
      <c r="A12" s="124" t="s">
        <v>8</v>
      </c>
      <c r="B12" s="109">
        <f>'Resid Cust Fcst '!$B13*'Resid TSM UC Adj'!B12</f>
        <v>0</v>
      </c>
      <c r="C12" s="23">
        <f>'Resid Cust Fcst '!$B13*'Resid TSM UC Adj'!C12</f>
        <v>0</v>
      </c>
      <c r="D12" s="23">
        <f>'Resid Cust Fcst '!$B13*'Resid TSM UC Adj'!D12</f>
        <v>0</v>
      </c>
      <c r="E12" s="41">
        <f>IF(SUM(B12:D12)=0,0,SUM(B12:D12)/'Resid Cust Fcst '!B13)</f>
        <v>0</v>
      </c>
      <c r="F12" s="109">
        <f>'Resid Cust Fcst '!$C13*'Resid TSM UC Adj'!F12</f>
        <v>0</v>
      </c>
      <c r="G12" s="23">
        <f>'Resid Cust Fcst '!$C13*'Resid TSM UC Adj'!G12</f>
        <v>0</v>
      </c>
      <c r="H12" s="23">
        <f>'Resid Cust Fcst '!$C13*'Resid TSM UC Adj'!H12</f>
        <v>0</v>
      </c>
      <c r="I12" s="41">
        <f>IF(SUM(F12:H12)=0,0,SUM(F12:H12)/'Resid Cust Fcst '!C13)</f>
        <v>0</v>
      </c>
      <c r="J12" s="109">
        <f>'Resid Cust Fcst '!$D13*'Resid TSM UC Adj'!J12</f>
        <v>0</v>
      </c>
      <c r="K12" s="23">
        <f>'Resid Cust Fcst '!$D13*'Resid TSM UC Adj'!K12</f>
        <v>0</v>
      </c>
      <c r="L12" s="23">
        <f>'Resid Cust Fcst '!$D13*'Resid TSM UC Adj'!L12</f>
        <v>0</v>
      </c>
      <c r="M12" s="41">
        <f>IF(SUM(J12:L12)=0,0,SUM(J12:L12)/'Resid Cust Fcst '!D13)</f>
        <v>0</v>
      </c>
      <c r="N12" s="109">
        <f>'Resid Cust Fcst '!$E13*'Resid TSM UC Adj'!N12</f>
        <v>0</v>
      </c>
      <c r="O12" s="23">
        <f>'Resid Cust Fcst '!$E13*'Resid TSM UC Adj'!O12</f>
        <v>0</v>
      </c>
      <c r="P12" s="23">
        <f>'Resid Cust Fcst '!$E13*'Resid TSM UC Adj'!P12</f>
        <v>0</v>
      </c>
      <c r="Q12" s="41">
        <f>IF(SUM(N12:P12)=0,0,SUM(N12:P12)/'Resid Cust Fcst '!E13)</f>
        <v>0</v>
      </c>
      <c r="R12" s="109">
        <f t="shared" si="2"/>
        <v>0</v>
      </c>
      <c r="S12" s="23">
        <f t="shared" si="0"/>
        <v>0</v>
      </c>
      <c r="T12" s="23">
        <f t="shared" si="0"/>
        <v>0</v>
      </c>
      <c r="U12" s="41">
        <f>IF(SUM(R12:T12)=0,0,SUM(R12:T12)/'Resid Cust Fcst '!F13)</f>
        <v>0</v>
      </c>
      <c r="V12" s="109">
        <f>'Resid Cust Fcst '!$G13*'Resid TSM UC Adj'!R12</f>
        <v>0</v>
      </c>
      <c r="W12" s="23">
        <f>'Resid Cust Fcst '!$G13*'Resid TSM UC Adj'!S12</f>
        <v>0</v>
      </c>
      <c r="X12" s="23">
        <f>'Resid Cust Fcst '!$G13*'Resid TSM UC Adj'!T12</f>
        <v>0</v>
      </c>
      <c r="Y12" s="41">
        <f>IF(SUM(V12:X12)=0,0,SUM(V12:X12)/'Resid Cust Fcst '!G13)</f>
        <v>0</v>
      </c>
      <c r="Z12" s="109">
        <f t="shared" si="3"/>
        <v>0</v>
      </c>
      <c r="AA12" s="23">
        <f t="shared" si="1"/>
        <v>0</v>
      </c>
      <c r="AB12" s="23">
        <f t="shared" si="1"/>
        <v>0</v>
      </c>
      <c r="AC12" s="41">
        <f>IF(SUM(Z12:AB12)=0,0,SUM(Z12:AB12)/'Resid Cust Fcst '!H13)</f>
        <v>0</v>
      </c>
    </row>
    <row r="13" spans="1:31" ht="13">
      <c r="A13" s="124" t="s">
        <v>9</v>
      </c>
      <c r="B13" s="109">
        <f>'Resid Cust Fcst '!$B14*'Resid TSM UC Adj'!B13</f>
        <v>0</v>
      </c>
      <c r="C13" s="23">
        <f>'Resid Cust Fcst '!$B14*'Resid TSM UC Adj'!C13</f>
        <v>0</v>
      </c>
      <c r="D13" s="23">
        <f>'Resid Cust Fcst '!$B14*'Resid TSM UC Adj'!D13</f>
        <v>0</v>
      </c>
      <c r="E13" s="41">
        <f>IF(SUM(B13:D13)=0,0,SUM(B13:D13)/'Resid Cust Fcst '!B14)</f>
        <v>0</v>
      </c>
      <c r="F13" s="109">
        <f>'Resid Cust Fcst '!$C14*'Resid TSM UC Adj'!F13</f>
        <v>0</v>
      </c>
      <c r="G13" s="23">
        <f>'Resid Cust Fcst '!$C14*'Resid TSM UC Adj'!G13</f>
        <v>0</v>
      </c>
      <c r="H13" s="23">
        <f>'Resid Cust Fcst '!$C14*'Resid TSM UC Adj'!H13</f>
        <v>0</v>
      </c>
      <c r="I13" s="41">
        <f>IF(SUM(F13:H13)=0,0,SUM(F13:H13)/'Resid Cust Fcst '!C14)</f>
        <v>0</v>
      </c>
      <c r="J13" s="109">
        <f>'Resid Cust Fcst '!$D14*'Resid TSM UC Adj'!J13</f>
        <v>0</v>
      </c>
      <c r="K13" s="23">
        <f>'Resid Cust Fcst '!$D14*'Resid TSM UC Adj'!K13</f>
        <v>0</v>
      </c>
      <c r="L13" s="23">
        <f>'Resid Cust Fcst '!$D14*'Resid TSM UC Adj'!L13</f>
        <v>0</v>
      </c>
      <c r="M13" s="41">
        <f>IF(SUM(J13:L13)=0,0,SUM(J13:L13)/'Resid Cust Fcst '!D14)</f>
        <v>0</v>
      </c>
      <c r="N13" s="109">
        <f>'Resid Cust Fcst '!$E14*'Resid TSM UC Adj'!N13</f>
        <v>0</v>
      </c>
      <c r="O13" s="23">
        <f>'Resid Cust Fcst '!$E14*'Resid TSM UC Adj'!O13</f>
        <v>0</v>
      </c>
      <c r="P13" s="23">
        <f>'Resid Cust Fcst '!$E14*'Resid TSM UC Adj'!P13</f>
        <v>0</v>
      </c>
      <c r="Q13" s="41">
        <f>IF(SUM(N13:P13)=0,0,SUM(N13:P13)/'Resid Cust Fcst '!E14)</f>
        <v>0</v>
      </c>
      <c r="R13" s="109">
        <f t="shared" si="2"/>
        <v>0</v>
      </c>
      <c r="S13" s="23">
        <f t="shared" si="0"/>
        <v>0</v>
      </c>
      <c r="T13" s="23">
        <f t="shared" si="0"/>
        <v>0</v>
      </c>
      <c r="U13" s="41">
        <f>IF(SUM(R13:T13)=0,0,SUM(R13:T13)/'Resid Cust Fcst '!F14)</f>
        <v>0</v>
      </c>
      <c r="V13" s="109">
        <f>'Resid Cust Fcst '!$G14*'Resid TSM UC Adj'!R13</f>
        <v>0</v>
      </c>
      <c r="W13" s="23">
        <f>'Resid Cust Fcst '!$G14*'Resid TSM UC Adj'!S13</f>
        <v>0</v>
      </c>
      <c r="X13" s="23">
        <f>'Resid Cust Fcst '!$G14*'Resid TSM UC Adj'!T13</f>
        <v>0</v>
      </c>
      <c r="Y13" s="41">
        <f>IF(SUM(V13:X13)=0,0,SUM(V13:X13)/'Resid Cust Fcst '!G14)</f>
        <v>0</v>
      </c>
      <c r="Z13" s="109">
        <f t="shared" si="3"/>
        <v>0</v>
      </c>
      <c r="AA13" s="23">
        <f t="shared" si="1"/>
        <v>0</v>
      </c>
      <c r="AB13" s="23">
        <f t="shared" si="1"/>
        <v>0</v>
      </c>
      <c r="AC13" s="41">
        <f>IF(SUM(Z13:AB13)=0,0,SUM(Z13:AB13)/'Resid Cust Fcst '!H14)</f>
        <v>0</v>
      </c>
    </row>
    <row r="14" spans="1:31" ht="13">
      <c r="A14" s="124" t="s">
        <v>10</v>
      </c>
      <c r="B14" s="109">
        <f>'Resid Cust Fcst '!$B15*'Resid TSM UC Adj'!B14</f>
        <v>0</v>
      </c>
      <c r="C14" s="23">
        <f>'Resid Cust Fcst '!$B15*'Resid TSM UC Adj'!C14</f>
        <v>0</v>
      </c>
      <c r="D14" s="23">
        <f>'Resid Cust Fcst '!$B15*'Resid TSM UC Adj'!D14</f>
        <v>0</v>
      </c>
      <c r="E14" s="41">
        <f>IF(SUM(B14:D14)=0,0,SUM(B14:D14)/'Resid Cust Fcst '!B15)</f>
        <v>0</v>
      </c>
      <c r="F14" s="109">
        <f>'Resid Cust Fcst '!$C15*'Resid TSM UC Adj'!F14</f>
        <v>0</v>
      </c>
      <c r="G14" s="23">
        <f>'Resid Cust Fcst '!$C15*'Resid TSM UC Adj'!G14</f>
        <v>0</v>
      </c>
      <c r="H14" s="23">
        <f>'Resid Cust Fcst '!$C15*'Resid TSM UC Adj'!H14</f>
        <v>0</v>
      </c>
      <c r="I14" s="41">
        <f>IF(SUM(F14:H14)=0,0,SUM(F14:H14)/'Resid Cust Fcst '!C15)</f>
        <v>0</v>
      </c>
      <c r="J14" s="109">
        <f>'Resid Cust Fcst '!$D15*'Resid TSM UC Adj'!J14</f>
        <v>0</v>
      </c>
      <c r="K14" s="23">
        <f>'Resid Cust Fcst '!$D15*'Resid TSM UC Adj'!K14</f>
        <v>0</v>
      </c>
      <c r="L14" s="23">
        <f>'Resid Cust Fcst '!$D15*'Resid TSM UC Adj'!L14</f>
        <v>0</v>
      </c>
      <c r="M14" s="41">
        <f>IF(SUM(J14:L14)=0,0,SUM(J14:L14)/'Resid Cust Fcst '!D15)</f>
        <v>0</v>
      </c>
      <c r="N14" s="109">
        <f>'Resid Cust Fcst '!$E15*'Resid TSM UC Adj'!N14</f>
        <v>0</v>
      </c>
      <c r="O14" s="23">
        <f>'Resid Cust Fcst '!$E15*'Resid TSM UC Adj'!O14</f>
        <v>0</v>
      </c>
      <c r="P14" s="23">
        <f>'Resid Cust Fcst '!$E15*'Resid TSM UC Adj'!P14</f>
        <v>0</v>
      </c>
      <c r="Q14" s="41">
        <f>IF(SUM(N14:P14)=0,0,SUM(N14:P14)/'Resid Cust Fcst '!E15)</f>
        <v>0</v>
      </c>
      <c r="R14" s="109">
        <f t="shared" si="2"/>
        <v>0</v>
      </c>
      <c r="S14" s="23">
        <f t="shared" si="0"/>
        <v>0</v>
      </c>
      <c r="T14" s="23">
        <f t="shared" si="0"/>
        <v>0</v>
      </c>
      <c r="U14" s="41">
        <f>IF(SUM(R14:T14)=0,0,SUM(R14:T14)/'Resid Cust Fcst '!F15)</f>
        <v>0</v>
      </c>
      <c r="V14" s="109">
        <f>'Resid Cust Fcst '!$G15*'Resid TSM UC Adj'!R14</f>
        <v>0</v>
      </c>
      <c r="W14" s="23">
        <f>'Resid Cust Fcst '!$G15*'Resid TSM UC Adj'!S14</f>
        <v>0</v>
      </c>
      <c r="X14" s="23">
        <f>'Resid Cust Fcst '!$G15*'Resid TSM UC Adj'!T14</f>
        <v>0</v>
      </c>
      <c r="Y14" s="41">
        <f>IF(SUM(V14:X14)=0,0,SUM(V14:X14)/'Resid Cust Fcst '!G15)</f>
        <v>0</v>
      </c>
      <c r="Z14" s="109">
        <f t="shared" si="3"/>
        <v>0</v>
      </c>
      <c r="AA14" s="23">
        <f t="shared" si="1"/>
        <v>0</v>
      </c>
      <c r="AB14" s="23">
        <f t="shared" si="1"/>
        <v>0</v>
      </c>
      <c r="AC14" s="41">
        <f>IF(SUM(Z14:AB14)=0,0,SUM(Z14:AB14)/'Resid Cust Fcst '!H15)</f>
        <v>0</v>
      </c>
    </row>
    <row r="15" spans="1:31" ht="13">
      <c r="A15" s="124" t="s">
        <v>11</v>
      </c>
      <c r="B15" s="109">
        <f>'Resid Cust Fcst '!$B16*'Resid TSM UC Adj'!B15</f>
        <v>0</v>
      </c>
      <c r="C15" s="23">
        <f>'Resid Cust Fcst '!$B16*'Resid TSM UC Adj'!C15</f>
        <v>0</v>
      </c>
      <c r="D15" s="23">
        <f>'Resid Cust Fcst '!$B16*'Resid TSM UC Adj'!D15</f>
        <v>0</v>
      </c>
      <c r="E15" s="41">
        <f>IF(SUM(B15:D15)=0,0,SUM(B15:D15)/'Resid Cust Fcst '!B16)</f>
        <v>0</v>
      </c>
      <c r="F15" s="109">
        <f>'Resid Cust Fcst '!$C16*'Resid TSM UC Adj'!F15</f>
        <v>0</v>
      </c>
      <c r="G15" s="23">
        <f>'Resid Cust Fcst '!$C16*'Resid TSM UC Adj'!G15</f>
        <v>0</v>
      </c>
      <c r="H15" s="23">
        <f>'Resid Cust Fcst '!$C16*'Resid TSM UC Adj'!H15</f>
        <v>0</v>
      </c>
      <c r="I15" s="41">
        <f>IF(SUM(F15:H15)=0,0,SUM(F15:H15)/'Resid Cust Fcst '!C16)</f>
        <v>0</v>
      </c>
      <c r="J15" s="109">
        <f>'Resid Cust Fcst '!$D16*'Resid TSM UC Adj'!J15</f>
        <v>0</v>
      </c>
      <c r="K15" s="23">
        <f>'Resid Cust Fcst '!$D16*'Resid TSM UC Adj'!K15</f>
        <v>0</v>
      </c>
      <c r="L15" s="23">
        <f>'Resid Cust Fcst '!$D16*'Resid TSM UC Adj'!L15</f>
        <v>0</v>
      </c>
      <c r="M15" s="41">
        <f>IF(SUM(J15:L15)=0,0,SUM(J15:L15)/'Resid Cust Fcst '!D16)</f>
        <v>0</v>
      </c>
      <c r="N15" s="109">
        <f>'Resid Cust Fcst '!$E16*'Resid TSM UC Adj'!N15</f>
        <v>0</v>
      </c>
      <c r="O15" s="23">
        <f>'Resid Cust Fcst '!$E16*'Resid TSM UC Adj'!O15</f>
        <v>0</v>
      </c>
      <c r="P15" s="23">
        <f>'Resid Cust Fcst '!$E16*'Resid TSM UC Adj'!P15</f>
        <v>0</v>
      </c>
      <c r="Q15" s="41">
        <f>IF(SUM(N15:P15)=0,0,SUM(N15:P15)/'Resid Cust Fcst 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IF(SUM(R15:T15)=0,0,SUM(R15:T15)/'Resid Cust Fcst '!F16)</f>
        <v>0</v>
      </c>
      <c r="V15" s="109">
        <f>'Resid Cust Fcst '!$G16*'Resid TSM UC Adj'!R15</f>
        <v>0</v>
      </c>
      <c r="W15" s="23">
        <f>'Resid Cust Fcst '!$G16*'Resid TSM UC Adj'!S15</f>
        <v>0</v>
      </c>
      <c r="X15" s="23">
        <f>'Resid Cust Fcst '!$G16*'Resid TSM UC Adj'!T15</f>
        <v>0</v>
      </c>
      <c r="Y15" s="41">
        <f>IF(SUM(V15:X15)=0,0,SUM(V15:X15)/'Resid Cust Fcst 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IF(SUM(Z15:AB15)=0,0,SUM(Z15:AB15)/'Resid Cust Fcst '!H16)</f>
        <v>0</v>
      </c>
    </row>
    <row r="16" spans="1:31" ht="13">
      <c r="A16" s="124" t="s">
        <v>101</v>
      </c>
      <c r="B16" s="109">
        <f>'Resid Cust Fcst '!$B17*'Resid TSM UC Adj'!B16</f>
        <v>0</v>
      </c>
      <c r="C16" s="23">
        <f>'Resid Cust Fcst '!$B17*'Resid TSM UC Adj'!C16</f>
        <v>0</v>
      </c>
      <c r="D16" s="23">
        <f>'Resid Cust Fcst '!$B17*'Resid TSM UC Adj'!D16</f>
        <v>0</v>
      </c>
      <c r="E16" s="41">
        <f>IF(SUM(B16:D16)=0,0,SUM(B16:D16)/'Resid Cust Fcst '!B17)</f>
        <v>0</v>
      </c>
      <c r="F16" s="109">
        <f>'Resid Cust Fcst '!$C17*'Resid TSM UC Adj'!F16</f>
        <v>0</v>
      </c>
      <c r="G16" s="23">
        <f>'Resid Cust Fcst '!$C17*'Resid TSM UC Adj'!G16</f>
        <v>0</v>
      </c>
      <c r="H16" s="23">
        <f>'Resid Cust Fcst '!$C17*'Resid TSM UC Adj'!H16</f>
        <v>0</v>
      </c>
      <c r="I16" s="41">
        <f>IF(SUM(F16:H16)=0,0,SUM(F16:H16)/'Resid Cust Fcst '!C17)</f>
        <v>0</v>
      </c>
      <c r="J16" s="109">
        <f>'Resid Cust Fcst '!$D17*'Resid TSM UC Adj'!J16</f>
        <v>0</v>
      </c>
      <c r="K16" s="23">
        <f>'Resid Cust Fcst '!$D17*'Resid TSM UC Adj'!K16</f>
        <v>0</v>
      </c>
      <c r="L16" s="23">
        <f>'Resid Cust Fcst '!$D17*'Resid TSM UC Adj'!L16</f>
        <v>0</v>
      </c>
      <c r="M16" s="41">
        <f>IF(SUM(J16:L16)=0,0,SUM(J16:L16)/'Resid Cust Fcst '!D17)</f>
        <v>0</v>
      </c>
      <c r="N16" s="109">
        <f>'Resid Cust Fcst '!$E17*'Resid TSM UC Adj'!N16</f>
        <v>0</v>
      </c>
      <c r="O16" s="23">
        <f>'Resid Cust Fcst '!$E17*'Resid TSM UC Adj'!O16</f>
        <v>0</v>
      </c>
      <c r="P16" s="23">
        <f>'Resid Cust Fcst '!$E17*'Resid TSM UC Adj'!P16</f>
        <v>0</v>
      </c>
      <c r="Q16" s="41">
        <f>IF(SUM(N16:P16)=0,0,SUM(N16:P16)/'Resid Cust Fcst '!E17)</f>
        <v>0</v>
      </c>
      <c r="R16" s="109">
        <f t="shared" si="2"/>
        <v>0</v>
      </c>
      <c r="S16" s="23">
        <f t="shared" si="0"/>
        <v>0</v>
      </c>
      <c r="T16" s="23">
        <f t="shared" si="0"/>
        <v>0</v>
      </c>
      <c r="U16" s="41">
        <f>IF(SUM(R16:T16)=0,0,SUM(R16:T16)/'Resid Cust Fcst '!F17)</f>
        <v>0</v>
      </c>
      <c r="V16" s="109">
        <f>'Resid Cust Fcst '!$G17*'Resid TSM UC Adj'!R16</f>
        <v>0</v>
      </c>
      <c r="W16" s="23">
        <f>'Resid Cust Fcst '!$G17*'Resid TSM UC Adj'!S16</f>
        <v>0</v>
      </c>
      <c r="X16" s="23">
        <f>'Resid Cust Fcst '!$G17*'Resid TSM UC Adj'!T16</f>
        <v>0</v>
      </c>
      <c r="Y16" s="41">
        <f>IF(SUM(V16:X16)=0,0,SUM(V16:X16)/'Resid Cust Fcst '!G17)</f>
        <v>0</v>
      </c>
      <c r="Z16" s="109">
        <f t="shared" si="3"/>
        <v>0</v>
      </c>
      <c r="AA16" s="23">
        <f t="shared" si="1"/>
        <v>0</v>
      </c>
      <c r="AB16" s="23">
        <f t="shared" si="1"/>
        <v>0</v>
      </c>
      <c r="AC16" s="41">
        <f>IF(SUM(Z16:AB16)=0,0,SUM(Z16:AB16)/'Resid Cust Fcst '!H17)</f>
        <v>0</v>
      </c>
    </row>
    <row r="17" spans="1:29" ht="13">
      <c r="A17" s="124" t="s">
        <v>102</v>
      </c>
      <c r="B17" s="109">
        <f>'Resid Cust Fcst '!$B18*'Resid TSM UC Adj'!J17</f>
        <v>0</v>
      </c>
      <c r="C17" s="23">
        <f>'Resid Cust Fcst '!$B18*'Resid TSM UC Adj'!K17</f>
        <v>0</v>
      </c>
      <c r="D17" s="23">
        <f>'Resid Cust Fcst '!$B18*'Resid TSM UC Adj'!L17</f>
        <v>0</v>
      </c>
      <c r="E17" s="41">
        <f>IF(SUM(B17:D17)=0,0,SUM(B17:D17)/'Resid Cust Fcst '!B18)</f>
        <v>0</v>
      </c>
      <c r="F17" s="109">
        <f>'Resid Cust Fcst '!$C18*'Resid TSM UC Adj'!F17</f>
        <v>0</v>
      </c>
      <c r="G17" s="23">
        <f>'Resid Cust Fcst '!$C18*'Resid TSM UC Adj'!G17</f>
        <v>0</v>
      </c>
      <c r="H17" s="23">
        <f>'Resid Cust Fcst '!$C18*'Resid TSM UC Adj'!H17</f>
        <v>0</v>
      </c>
      <c r="I17" s="41">
        <f>IF(SUM(F17:H17)=0,0,SUM(F17:H17)/'Resid Cust Fcst '!C18)</f>
        <v>0</v>
      </c>
      <c r="J17" s="109">
        <f>'Resid Cust Fcst '!$D18*'Resid TSM UC Adj'!J17</f>
        <v>0</v>
      </c>
      <c r="K17" s="23">
        <f>'Resid Cust Fcst '!$D18*'Resid TSM UC Adj'!K17</f>
        <v>0</v>
      </c>
      <c r="L17" s="23">
        <f>'Resid Cust Fcst '!$D18*'Resid TSM UC Adj'!L17</f>
        <v>0</v>
      </c>
      <c r="M17" s="41">
        <f>IF(SUM(J17:L17)=0,0,SUM(J17:L17)/'Resid Cust Fcst '!D18)</f>
        <v>0</v>
      </c>
      <c r="N17" s="109">
        <f>'Resid Cust Fcst '!$E18*'Resid TSM UC Adj'!N17</f>
        <v>0</v>
      </c>
      <c r="O17" s="23">
        <f>'Resid Cust Fcst '!$E18*'Resid TSM UC Adj'!O17</f>
        <v>0</v>
      </c>
      <c r="P17" s="23">
        <f>'Resid Cust Fcst '!$E18*'Resid TSM UC Adj'!P17</f>
        <v>0</v>
      </c>
      <c r="Q17" s="41">
        <f>IF(SUM(N17:P17)=0,0,SUM(N17:P17)/'Resid Cust Fcst 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IF(SUM(R17:T17)=0,0,SUM(R17:T17)/'Resid Cust Fcst '!F18)</f>
        <v>0</v>
      </c>
      <c r="V17" s="109">
        <f>'Resid Cust Fcst '!$G18*'Resid TSM UC Adj'!R17</f>
        <v>0</v>
      </c>
      <c r="W17" s="23">
        <f>'Resid Cust Fcst '!$G18*'Resid TSM UC Adj'!S17</f>
        <v>0</v>
      </c>
      <c r="X17" s="23">
        <f>'Resid Cust Fcst '!$G18*'Resid TSM UC Adj'!T17</f>
        <v>0</v>
      </c>
      <c r="Y17" s="41">
        <f>IF(SUM(V17:X17)=0,0,SUM(V17:X17)/'Resid Cust Fcst 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IF(SUM(Z17:AB17)=0,0,SUM(Z17:AB17)/'Resid Cust Fcst '!H18)</f>
        <v>0</v>
      </c>
    </row>
    <row r="18" spans="1:29" ht="13">
      <c r="A18" s="124" t="s">
        <v>12</v>
      </c>
      <c r="B18" s="109">
        <f>'Resid Cust Fcst '!$B19*'Resid TSM UC Adj'!J18</f>
        <v>0</v>
      </c>
      <c r="C18" s="23">
        <f>'Resid Cust Fcst '!$B19*'Resid TSM UC Adj'!K18</f>
        <v>0</v>
      </c>
      <c r="D18" s="23">
        <f>'Resid Cust Fcst '!$B19*'Resid TSM UC Adj'!L18</f>
        <v>0</v>
      </c>
      <c r="E18" s="41">
        <f>IF(SUM(B18:D18)=0,0,SUM(B18:D18)/'Resid Cust Fcst '!B19)</f>
        <v>0</v>
      </c>
      <c r="F18" s="109">
        <f>'Resid Cust Fcst '!$C19*'Resid TSM UC Adj'!J18</f>
        <v>0</v>
      </c>
      <c r="G18" s="23">
        <f>'Resid Cust Fcst '!$C19*'Resid TSM UC Adj'!K18</f>
        <v>0</v>
      </c>
      <c r="H18" s="23">
        <f>'Resid Cust Fcst '!$C19*'Resid TSM UC Adj'!L18</f>
        <v>0</v>
      </c>
      <c r="I18" s="41">
        <f>IF(SUM(F18:H18)=0,0,SUM(F18:H18)/'Resid Cust Fcst '!C19)</f>
        <v>0</v>
      </c>
      <c r="J18" s="109">
        <f>'Resid Cust Fcst '!$D19*'Resid TSM UC Adj'!J18</f>
        <v>0</v>
      </c>
      <c r="K18" s="23">
        <f>'Resid Cust Fcst '!$D19*'Resid TSM UC Adj'!K18</f>
        <v>0</v>
      </c>
      <c r="L18" s="23">
        <f>'Resid Cust Fcst '!$D19*'Resid TSM UC Adj'!L18</f>
        <v>0</v>
      </c>
      <c r="M18" s="41">
        <f>IF(SUM(J18:L18)=0,0,SUM(J18:L18)/'Resid Cust Fcst '!D19)</f>
        <v>0</v>
      </c>
      <c r="N18" s="109">
        <f>'Resid Cust Fcst '!$E19*'Resid TSM UC Adj'!N18</f>
        <v>0</v>
      </c>
      <c r="O18" s="23">
        <f>'Resid Cust Fcst '!$E19*'Resid TSM UC Adj'!O18</f>
        <v>0</v>
      </c>
      <c r="P18" s="23">
        <f>'Resid Cust Fcst '!$E19*'Resid TSM UC Adj'!P18</f>
        <v>0</v>
      </c>
      <c r="Q18" s="41">
        <f>IF(SUM(N18:P18)=0,0,SUM(N18:P18)/'Resid Cust Fcst 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IF(SUM(R18:T18)=0,0,SUM(R18:T18)/'Resid Cust Fcst '!F19)</f>
        <v>0</v>
      </c>
      <c r="V18" s="109">
        <f>'Resid Cust Fcst '!$G19*'Resid TSM UC Adj'!R18</f>
        <v>0</v>
      </c>
      <c r="W18" s="23">
        <f>'Resid Cust Fcst '!$G19*'Resid TSM UC Adj'!S18</f>
        <v>0</v>
      </c>
      <c r="X18" s="23">
        <f>'Resid Cust Fcst '!$G19*'Resid TSM UC Adj'!T18</f>
        <v>0</v>
      </c>
      <c r="Y18" s="41">
        <f>IF(SUM(V18:X18)=0,0,SUM(V18:X18)/'Resid Cust Fcst 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IF(SUM(Z18:AB18)=0,0,SUM(Z18:AB18)/'Resid Cust Fcst '!H19)</f>
        <v>0</v>
      </c>
    </row>
    <row r="19" spans="1:29" s="52" customFormat="1" ht="13">
      <c r="A19" s="106" t="s">
        <v>13</v>
      </c>
      <c r="B19" s="109">
        <f>'Resid Cust Fcst '!$B20*'Resid TSM UC Adj'!J19</f>
        <v>0</v>
      </c>
      <c r="C19" s="23">
        <f>'Resid Cust Fcst '!$B20*'Resid TSM UC Adj'!K19</f>
        <v>0</v>
      </c>
      <c r="D19" s="23">
        <f>'Resid Cust Fcst '!$B20*'Resid TSM UC Adj'!L19</f>
        <v>0</v>
      </c>
      <c r="E19" s="41">
        <f>IF(SUM(B19:D19)=0,0,SUM(B19:D19)/'Resid Cust Fcst '!B20)</f>
        <v>0</v>
      </c>
      <c r="F19" s="109">
        <f>'Resid Cust Fcst '!$C20*'Resid TSM UC Adj'!J19</f>
        <v>0</v>
      </c>
      <c r="G19" s="23">
        <f>'Resid Cust Fcst '!$C20*'Resid TSM UC Adj'!K19</f>
        <v>0</v>
      </c>
      <c r="H19" s="23">
        <f>'Resid Cust Fcst '!$C20*'Resid TSM UC Adj'!L19</f>
        <v>0</v>
      </c>
      <c r="I19" s="41">
        <f>IF(SUM(F19:H19)=0,0,SUM(F19:H19)/'Resid Cust Fcst '!C20)</f>
        <v>0</v>
      </c>
      <c r="J19" s="109">
        <f>'Resid Cust Fcst '!$D20*'Resid TSM UC Adj'!J19</f>
        <v>0</v>
      </c>
      <c r="K19" s="23">
        <f>'Resid Cust Fcst '!$D20*'Resid TSM UC Adj'!K19</f>
        <v>0</v>
      </c>
      <c r="L19" s="23">
        <f>'Resid Cust Fcst '!$D20*'Resid TSM UC Adj'!L19</f>
        <v>0</v>
      </c>
      <c r="M19" s="41">
        <f>IF(SUM(J19:L19)=0,0,SUM(J19:L19)/'Resid Cust Fcst '!D20)</f>
        <v>0</v>
      </c>
      <c r="N19" s="109">
        <f>'Resid Cust Fcst '!$E20*'Resid TSM UC Adj'!N19</f>
        <v>0</v>
      </c>
      <c r="O19" s="23">
        <f>'Resid Cust Fcst '!$E20*'Resid TSM UC Adj'!O19</f>
        <v>0</v>
      </c>
      <c r="P19" s="23">
        <f>'Resid Cust Fcst '!$E20*'Resid TSM UC Adj'!P19</f>
        <v>0</v>
      </c>
      <c r="Q19" s="41">
        <f>IF(SUM(N19:P19)=0,0,SUM(N19:P19)/'Resid Cust Fcst 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IF(SUM(R19:T19)=0,0,SUM(R19:T19)/'Resid Cust Fcst '!F20)</f>
        <v>0</v>
      </c>
      <c r="V19" s="109">
        <f>'Resid Cust Fcst '!$G20*'Resid TSM UC Adj'!R19</f>
        <v>0</v>
      </c>
      <c r="W19" s="23">
        <f>'Resid Cust Fcst '!$G20*'Resid TSM UC Adj'!S19</f>
        <v>0</v>
      </c>
      <c r="X19" s="23">
        <f>'Resid Cust Fcst '!$G20*'Resid TSM UC Adj'!T19</f>
        <v>0</v>
      </c>
      <c r="Y19" s="41">
        <f>IF(SUM(V19:X19)=0,0,SUM(V19:X19)/'Resid Cust Fcst 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IF(SUM(Z19:AB19)=0,0,SUM(Z19:AB19)/'Resid Cust Fcst '!H20)</f>
        <v>0</v>
      </c>
    </row>
    <row r="20" spans="1:29" ht="13">
      <c r="A20" s="124" t="s">
        <v>103</v>
      </c>
      <c r="B20" s="109">
        <f>'Resid Cust Fcst '!$B21*'Resid TSM UC Adj'!J20</f>
        <v>0</v>
      </c>
      <c r="C20" s="23">
        <f>'Resid Cust Fcst '!$B21*'Resid TSM UC Adj'!K20</f>
        <v>0</v>
      </c>
      <c r="D20" s="23">
        <f>'Resid Cust Fcst '!$B21*'Resid TSM UC Adj'!L20</f>
        <v>0</v>
      </c>
      <c r="E20" s="41">
        <f>IF(SUM(B20:D20)=0,0,SUM(B20:D20)/'Resid Cust Fcst '!B21)</f>
        <v>0</v>
      </c>
      <c r="F20" s="109">
        <f>'Resid Cust Fcst '!$C21*'Resid TSM UC Adj'!J20</f>
        <v>0</v>
      </c>
      <c r="G20" s="23">
        <f>'Resid Cust Fcst '!$C21*'Resid TSM UC Adj'!K20</f>
        <v>0</v>
      </c>
      <c r="H20" s="23">
        <f>'Resid Cust Fcst '!$C21*'Resid TSM UC Adj'!L20</f>
        <v>0</v>
      </c>
      <c r="I20" s="41">
        <f>IF(SUM(F20:H20)=0,0,SUM(F20:H20)/'Resid Cust Fcst '!C21)</f>
        <v>0</v>
      </c>
      <c r="J20" s="109">
        <f>'Resid Cust Fcst '!$D21*'Resid TSM UC Adj'!J20</f>
        <v>0</v>
      </c>
      <c r="K20" s="23">
        <f>'Resid Cust Fcst '!$D21*'Resid TSM UC Adj'!K20</f>
        <v>0</v>
      </c>
      <c r="L20" s="23">
        <f>'Resid Cust Fcst '!$D21*'Resid TSM UC Adj'!L20</f>
        <v>0</v>
      </c>
      <c r="M20" s="41">
        <f>IF(SUM(J20:L20)=0,0,SUM(J20:L20)/'Resid Cust Fcst '!D21)</f>
        <v>0</v>
      </c>
      <c r="N20" s="109">
        <f>'Resid Cust Fcst '!$E21*'Resid TSM UC Adj'!N20</f>
        <v>0</v>
      </c>
      <c r="O20" s="23">
        <f>'Resid Cust Fcst '!$E21*'Resid TSM UC Adj'!O20</f>
        <v>0</v>
      </c>
      <c r="P20" s="23">
        <f>'Resid Cust Fcst '!$E21*'Resid TSM UC Adj'!P20</f>
        <v>0</v>
      </c>
      <c r="Q20" s="41">
        <f>IF(SUM(N20:P20)=0,0,SUM(N20:P20)/'Resid Cust Fcst 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IF(SUM(R20:T20)=0,0,SUM(R20:T20)/'Resid Cust Fcst '!F21)</f>
        <v>0</v>
      </c>
      <c r="V20" s="109">
        <f>'Resid Cust Fcst '!$G21*'Resid TSM UC Adj'!R20</f>
        <v>0</v>
      </c>
      <c r="W20" s="23">
        <f>'Resid Cust Fcst '!$G21*'Resid TSM UC Adj'!S20</f>
        <v>0</v>
      </c>
      <c r="X20" s="23">
        <f>'Resid Cust Fcst '!$G21*'Resid TSM UC Adj'!T20</f>
        <v>0</v>
      </c>
      <c r="Y20" s="41">
        <f>IF(SUM(V20:X20)=0,0,SUM(V20:X20)/'Resid Cust Fcst 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IF(SUM(Z20:AB20)=0,0,SUM(Z20:AB20)/'Resid Cust Fcst '!H21)</f>
        <v>0</v>
      </c>
    </row>
    <row r="21" spans="1:29" ht="13">
      <c r="A21" s="124" t="s">
        <v>104</v>
      </c>
      <c r="B21" s="109">
        <f>'Resid Cust Fcst '!$B22*'Resid TSM UC Adj'!J21</f>
        <v>0</v>
      </c>
      <c r="C21" s="23">
        <f>'Resid Cust Fcst '!$B22*'Resid TSM UC Adj'!K21</f>
        <v>0</v>
      </c>
      <c r="D21" s="23">
        <f>'Resid Cust Fcst '!$B22*'Resid TSM UC Adj'!L21</f>
        <v>0</v>
      </c>
      <c r="E21" s="41">
        <f>IF(SUM(B21:D21)=0,0,SUM(B21:D21)/'Resid Cust Fcst '!B22)</f>
        <v>0</v>
      </c>
      <c r="F21" s="109">
        <f>'Resid Cust Fcst '!$C22*'Resid TSM UC Adj'!J21</f>
        <v>0</v>
      </c>
      <c r="G21" s="23">
        <f>'Resid Cust Fcst '!$C22*'Resid TSM UC Adj'!K21</f>
        <v>0</v>
      </c>
      <c r="H21" s="23">
        <f>'Resid Cust Fcst '!$C22*'Resid TSM UC Adj'!L21</f>
        <v>0</v>
      </c>
      <c r="I21" s="41">
        <f>IF(SUM(F21:H21)=0,0,SUM(F21:H21)/'Resid Cust Fcst '!C22)</f>
        <v>0</v>
      </c>
      <c r="J21" s="109">
        <f>'Resid Cust Fcst '!$D22*'Resid TSM UC Adj'!J21</f>
        <v>0</v>
      </c>
      <c r="K21" s="23">
        <f>'Resid Cust Fcst '!$D22*'Resid TSM UC Adj'!K21</f>
        <v>0</v>
      </c>
      <c r="L21" s="23">
        <f>'Resid Cust Fcst '!$D22*'Resid TSM UC Adj'!L21</f>
        <v>0</v>
      </c>
      <c r="M21" s="41">
        <f>IF(SUM(J21:L21)=0,0,SUM(J21:L21)/'Resid Cust Fcst '!D22)</f>
        <v>0</v>
      </c>
      <c r="N21" s="109">
        <f>'Resid Cust Fcst '!$E22*'Resid TSM UC Adj'!N21</f>
        <v>0</v>
      </c>
      <c r="O21" s="23">
        <f>'Resid Cust Fcst '!$E22*'Resid TSM UC Adj'!O21</f>
        <v>0</v>
      </c>
      <c r="P21" s="23">
        <f>'Resid Cust Fcst '!$E22*'Resid TSM UC Adj'!P21</f>
        <v>0</v>
      </c>
      <c r="Q21" s="41">
        <f>IF(SUM(N21:P21)=0,0,SUM(N21:P21)/'Resid Cust Fcst 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IF(SUM(R21:T21)=0,0,SUM(R21:T21)/'Resid Cust Fcst '!F22)</f>
        <v>0</v>
      </c>
      <c r="V21" s="109">
        <f>'Resid Cust Fcst '!$G22*'Resid TSM UC Adj'!R21</f>
        <v>0</v>
      </c>
      <c r="W21" s="23">
        <f>'Resid Cust Fcst '!$G22*'Resid TSM UC Adj'!S21</f>
        <v>0</v>
      </c>
      <c r="X21" s="23">
        <f>'Resid Cust Fcst '!$G22*'Resid TSM UC Adj'!T21</f>
        <v>0</v>
      </c>
      <c r="Y21" s="41">
        <f>IF(SUM(V21:X21)=0,0,SUM(V21:X21)/'Resid Cust Fcst 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IF(SUM(Z21:AB21)=0,0,SUM(Z21:AB21)/'Resid Cust Fcst '!H22)</f>
        <v>0</v>
      </c>
    </row>
    <row r="22" spans="1:29" ht="13">
      <c r="A22" s="124" t="s">
        <v>14</v>
      </c>
      <c r="B22" s="109">
        <f>'Resid Cust Fcst '!$B23*'Resid TSM UC Adj'!J22</f>
        <v>0</v>
      </c>
      <c r="C22" s="23">
        <f>'Resid Cust Fcst '!$B23*'Resid TSM UC Adj'!K22</f>
        <v>0</v>
      </c>
      <c r="D22" s="23">
        <f>'Resid Cust Fcst '!$B23*'Resid TSM UC Adj'!L22</f>
        <v>0</v>
      </c>
      <c r="E22" s="41">
        <f>IF(SUM(B22:D22)=0,0,SUM(B22:D22)/'Resid Cust Fcst '!B23)</f>
        <v>0</v>
      </c>
      <c r="F22" s="109">
        <f>'Resid Cust Fcst '!$C23*'Resid TSM UC Adj'!J22</f>
        <v>0</v>
      </c>
      <c r="G22" s="23">
        <f>'Resid Cust Fcst '!$C23*'Resid TSM UC Adj'!K22</f>
        <v>0</v>
      </c>
      <c r="H22" s="23">
        <f>'Resid Cust Fcst '!$C23*'Resid TSM UC Adj'!L22</f>
        <v>0</v>
      </c>
      <c r="I22" s="41">
        <f>IF(SUM(F22:H22)=0,0,SUM(F22:H22)/'Resid Cust Fcst '!C23)</f>
        <v>0</v>
      </c>
      <c r="J22" s="109">
        <f>'Resid Cust Fcst '!$D23*'Resid TSM UC Adj'!J22</f>
        <v>0</v>
      </c>
      <c r="K22" s="23">
        <f>'Resid Cust Fcst '!$D23*'Resid TSM UC Adj'!K22</f>
        <v>0</v>
      </c>
      <c r="L22" s="23">
        <f>'Resid Cust Fcst '!$D23*'Resid TSM UC Adj'!L22</f>
        <v>0</v>
      </c>
      <c r="M22" s="41">
        <f>IF(SUM(J22:L22)=0,0,SUM(J22:L22)/'Resid Cust Fcst '!D23)</f>
        <v>0</v>
      </c>
      <c r="N22" s="109">
        <f>'Resid Cust Fcst '!$E23*'Resid TSM UC Adj'!N22</f>
        <v>0</v>
      </c>
      <c r="O22" s="23">
        <f>'Resid Cust Fcst '!$E23*'Resid TSM UC Adj'!O22</f>
        <v>0</v>
      </c>
      <c r="P22" s="23">
        <f>'Resid Cust Fcst '!$E23*'Resid TSM UC Adj'!P22</f>
        <v>0</v>
      </c>
      <c r="Q22" s="41">
        <f>IF(SUM(N22:P22)=0,0,SUM(N22:P22)/'Resid Cust Fcst 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IF(SUM(R22:T22)=0,0,SUM(R22:T22)/'Resid Cust Fcst '!F23)</f>
        <v>0</v>
      </c>
      <c r="V22" s="109">
        <f>'Resid Cust Fcst '!$G23*'Resid TSM UC Adj'!R22</f>
        <v>0</v>
      </c>
      <c r="W22" s="23">
        <f>'Resid Cust Fcst '!$G23*'Resid TSM UC Adj'!S22</f>
        <v>0</v>
      </c>
      <c r="X22" s="23">
        <f>'Resid Cust Fcst '!$G23*'Resid TSM UC Adj'!T22</f>
        <v>0</v>
      </c>
      <c r="Y22" s="41">
        <f>IF(SUM(V22:X22)=0,0,SUM(V22:X22)/'Resid Cust Fcst 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IF(SUM(Z22:AB22)=0,0,SUM(Z22:AB22)/'Resid Cust Fcst '!H23)</f>
        <v>0</v>
      </c>
    </row>
    <row r="23" spans="1:29" ht="13">
      <c r="A23" s="124" t="s">
        <v>15</v>
      </c>
      <c r="B23" s="109">
        <f>'Resid Cust Fcst '!$B24*'Resid TSM UC Adj'!J23</f>
        <v>0</v>
      </c>
      <c r="C23" s="23">
        <f>'Resid Cust Fcst '!$B24*'Resid TSM UC Adj'!K23</f>
        <v>0</v>
      </c>
      <c r="D23" s="23">
        <f>'Resid Cust Fcst '!$B24*'Resid TSM UC Adj'!L23</f>
        <v>0</v>
      </c>
      <c r="E23" s="41">
        <f>IF(SUM(B23:D23)=0,0,SUM(B23:D23)/'Resid Cust Fcst '!B24)</f>
        <v>0</v>
      </c>
      <c r="F23" s="109">
        <f>'Resid Cust Fcst '!$C24*'Resid TSM UC Adj'!J23</f>
        <v>0</v>
      </c>
      <c r="G23" s="23">
        <f>'Resid Cust Fcst '!$C24*'Resid TSM UC Adj'!K23</f>
        <v>0</v>
      </c>
      <c r="H23" s="23">
        <f>'Resid Cust Fcst '!$C24*'Resid TSM UC Adj'!L23</f>
        <v>0</v>
      </c>
      <c r="I23" s="41">
        <f>IF(SUM(F23:H23)=0,0,SUM(F23:H23)/'Resid Cust Fcst '!C24)</f>
        <v>0</v>
      </c>
      <c r="J23" s="109">
        <f>'Resid Cust Fcst '!$D24*'Resid TSM UC Adj'!J23</f>
        <v>0</v>
      </c>
      <c r="K23" s="23">
        <f>'Resid Cust Fcst '!$D24*'Resid TSM UC Adj'!K23</f>
        <v>0</v>
      </c>
      <c r="L23" s="23">
        <f>'Resid Cust Fcst '!$D24*'Resid TSM UC Adj'!L23</f>
        <v>0</v>
      </c>
      <c r="M23" s="41">
        <f>IF(SUM(J23:L23)=0,0,SUM(J23:L23)/'Resid Cust Fcst '!D24)</f>
        <v>0</v>
      </c>
      <c r="N23" s="109">
        <f>'Resid Cust Fcst '!$E24*'Resid TSM UC Adj'!N23</f>
        <v>0</v>
      </c>
      <c r="O23" s="23">
        <f>'Resid Cust Fcst '!$E24*'Resid TSM UC Adj'!O23</f>
        <v>0</v>
      </c>
      <c r="P23" s="23">
        <f>'Resid Cust Fcst '!$E24*'Resid TSM UC Adj'!P23</f>
        <v>0</v>
      </c>
      <c r="Q23" s="41">
        <f>IF(SUM(N23:P23)=0,0,SUM(N23:P23)/'Resid Cust Fcst '!E24)</f>
        <v>0</v>
      </c>
      <c r="R23" s="109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1">
        <f>IF(SUM(R23:T23)=0,0,SUM(R23:T23)/'Resid Cust Fcst '!F24)</f>
        <v>0</v>
      </c>
      <c r="V23" s="109">
        <f>'Resid Cust Fcst '!$G24*'Resid TSM UC Adj'!R23</f>
        <v>0</v>
      </c>
      <c r="W23" s="23">
        <f>'Resid Cust Fcst '!$G24*'Resid TSM UC Adj'!S23</f>
        <v>0</v>
      </c>
      <c r="X23" s="23">
        <f>'Resid Cust Fcst '!$G24*'Resid TSM UC Adj'!T23</f>
        <v>0</v>
      </c>
      <c r="Y23" s="41">
        <f>IF(SUM(V23:X23)=0,0,SUM(V23:X23)/'Resid Cust Fcst '!G24)</f>
        <v>0</v>
      </c>
      <c r="Z23" s="109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1">
        <f>IF(SUM(Z23:AB23)=0,0,SUM(Z23:AB23)/'Resid Cust Fcst '!H24)</f>
        <v>0</v>
      </c>
    </row>
    <row r="24" spans="1:29" ht="13">
      <c r="A24" s="124" t="s">
        <v>16</v>
      </c>
      <c r="B24" s="109">
        <f>'Resid Cust Fcst '!$B25*'Resid TSM UC Adj'!J24</f>
        <v>0</v>
      </c>
      <c r="C24" s="23">
        <f>'Resid Cust Fcst '!$B25*'Resid TSM UC Adj'!K24</f>
        <v>0</v>
      </c>
      <c r="D24" s="23">
        <f>'Resid Cust Fcst '!$B25*'Resid TSM UC Adj'!L24</f>
        <v>0</v>
      </c>
      <c r="E24" s="41">
        <f>IF(SUM(B24:D24)=0,0,SUM(B24:D24)/'Resid Cust Fcst '!B25)</f>
        <v>0</v>
      </c>
      <c r="F24" s="109">
        <f>'Resid Cust Fcst '!$C25*'Resid TSM UC Adj'!J24</f>
        <v>0</v>
      </c>
      <c r="G24" s="23">
        <f>'Resid Cust Fcst '!$C25*'Resid TSM UC Adj'!K24</f>
        <v>0</v>
      </c>
      <c r="H24" s="23">
        <f>'Resid Cust Fcst '!$C25*'Resid TSM UC Adj'!L24</f>
        <v>0</v>
      </c>
      <c r="I24" s="41">
        <f>IF(SUM(F24:H24)=0,0,SUM(F24:H24)/'Resid Cust Fcst '!C25)</f>
        <v>0</v>
      </c>
      <c r="J24" s="109">
        <f>'Resid Cust Fcst '!$D25*'Resid TSM UC Adj'!J24</f>
        <v>0</v>
      </c>
      <c r="K24" s="23">
        <f>'Resid Cust Fcst '!$D25*'Resid TSM UC Adj'!K24</f>
        <v>0</v>
      </c>
      <c r="L24" s="23">
        <f>'Resid Cust Fcst '!$D25*'Resid TSM UC Adj'!L24</f>
        <v>0</v>
      </c>
      <c r="M24" s="41">
        <f>IF(SUM(J24:L24)=0,0,SUM(J24:L24)/'Resid Cust Fcst '!D25)</f>
        <v>0</v>
      </c>
      <c r="N24" s="109">
        <f>'Resid Cust Fcst '!$E25*'Resid TSM UC Adj'!N24</f>
        <v>0</v>
      </c>
      <c r="O24" s="23">
        <f>'Resid Cust Fcst '!$E25*'Resid TSM UC Adj'!O24</f>
        <v>0</v>
      </c>
      <c r="P24" s="23">
        <f>'Resid Cust Fcst '!$E25*'Resid TSM UC Adj'!P24</f>
        <v>0</v>
      </c>
      <c r="Q24" s="41">
        <f>IF(SUM(N24:P24)=0,0,SUM(N24:P24)/'Resid Cust Fcst '!E25)</f>
        <v>0</v>
      </c>
      <c r="R24" s="109">
        <f t="shared" si="2"/>
        <v>0</v>
      </c>
      <c r="S24" s="23">
        <f t="shared" si="4"/>
        <v>0</v>
      </c>
      <c r="T24" s="23">
        <f t="shared" si="5"/>
        <v>0</v>
      </c>
      <c r="U24" s="41">
        <f>IF(SUM(R24:T24)=0,0,SUM(R24:T24)/'Resid Cust Fcst '!F25)</f>
        <v>0</v>
      </c>
      <c r="V24" s="109">
        <f>'Resid Cust Fcst '!$G25*'Resid TSM UC Adj'!R24</f>
        <v>0</v>
      </c>
      <c r="W24" s="23">
        <f>'Resid Cust Fcst '!$G25*'Resid TSM UC Adj'!S24</f>
        <v>0</v>
      </c>
      <c r="X24" s="23">
        <f>'Resid Cust Fcst '!$G25*'Resid TSM UC Adj'!T24</f>
        <v>0</v>
      </c>
      <c r="Y24" s="41">
        <f>IF(SUM(V24:X24)=0,0,SUM(V24:X24)/'Resid Cust Fcst '!G25)</f>
        <v>0</v>
      </c>
      <c r="Z24" s="109">
        <f t="shared" si="3"/>
        <v>0</v>
      </c>
      <c r="AA24" s="23">
        <f t="shared" si="6"/>
        <v>0</v>
      </c>
      <c r="AB24" s="23">
        <f t="shared" si="7"/>
        <v>0</v>
      </c>
      <c r="AC24" s="41">
        <f>IF(SUM(Z24:AB24)=0,0,SUM(Z24:AB24)/'Resid Cust Fcst '!H25)</f>
        <v>0</v>
      </c>
    </row>
    <row r="25" spans="1:29" ht="13">
      <c r="A25" s="124" t="s">
        <v>17</v>
      </c>
      <c r="B25" s="109">
        <f>'Resid Cust Fcst '!$B26*'Resid TSM UC Adj'!J25</f>
        <v>0</v>
      </c>
      <c r="C25" s="23">
        <f>'Resid Cust Fcst '!$B26*'Resid TSM UC Adj'!K25</f>
        <v>0</v>
      </c>
      <c r="D25" s="23">
        <f>'Resid Cust Fcst '!$B26*'Resid TSM UC Adj'!L25</f>
        <v>0</v>
      </c>
      <c r="E25" s="41">
        <f>IF(SUM(B25:D25)=0,0,SUM(B25:D25)/'Resid Cust Fcst '!B26)</f>
        <v>0</v>
      </c>
      <c r="F25" s="109">
        <f>'Resid Cust Fcst '!$C26*'Resid TSM UC Adj'!J25</f>
        <v>0</v>
      </c>
      <c r="G25" s="23">
        <f>'Resid Cust Fcst '!$C26*'Resid TSM UC Adj'!K25</f>
        <v>0</v>
      </c>
      <c r="H25" s="23">
        <f>'Resid Cust Fcst '!$C26*'Resid TSM UC Adj'!L25</f>
        <v>0</v>
      </c>
      <c r="I25" s="41">
        <f>IF(SUM(F25:H25)=0,0,SUM(F25:H25)/'Resid Cust Fcst '!C26)</f>
        <v>0</v>
      </c>
      <c r="J25" s="109">
        <f>'Resid Cust Fcst '!$D26*'Resid TSM UC Adj'!J25</f>
        <v>0</v>
      </c>
      <c r="K25" s="23">
        <f>'Resid Cust Fcst '!$D26*'Resid TSM UC Adj'!K25</f>
        <v>0</v>
      </c>
      <c r="L25" s="23">
        <f>'Resid Cust Fcst '!$D26*'Resid TSM UC Adj'!L25</f>
        <v>0</v>
      </c>
      <c r="M25" s="41">
        <f>IF(SUM(J25:L25)=0,0,SUM(J25:L25)/'Resid Cust Fcst '!D26)</f>
        <v>0</v>
      </c>
      <c r="N25" s="109">
        <f>'Resid Cust Fcst '!$E26*'Resid TSM UC Adj'!N25</f>
        <v>0</v>
      </c>
      <c r="O25" s="23">
        <f>'Resid Cust Fcst '!$E26*'Resid TSM UC Adj'!O25</f>
        <v>0</v>
      </c>
      <c r="P25" s="23">
        <f>'Resid Cust Fcst '!$E26*'Resid TSM UC Adj'!P25</f>
        <v>0</v>
      </c>
      <c r="Q25" s="41">
        <f>IF(SUM(N25:P25)=0,0,SUM(N25:P25)/'Resid Cust Fcst '!E26)</f>
        <v>0</v>
      </c>
      <c r="R25" s="109">
        <f t="shared" si="2"/>
        <v>0</v>
      </c>
      <c r="S25" s="23">
        <f t="shared" si="4"/>
        <v>0</v>
      </c>
      <c r="T25" s="23">
        <f t="shared" si="5"/>
        <v>0</v>
      </c>
      <c r="U25" s="41">
        <f>IF(SUM(R25:T25)=0,0,SUM(R25:T25)/'Resid Cust Fcst '!F26)</f>
        <v>0</v>
      </c>
      <c r="V25" s="109">
        <f>'Resid Cust Fcst '!$G26*'Resid TSM UC Adj'!R25</f>
        <v>0</v>
      </c>
      <c r="W25" s="23">
        <f>'Resid Cust Fcst '!$G26*'Resid TSM UC Adj'!S25</f>
        <v>0</v>
      </c>
      <c r="X25" s="23">
        <f>'Resid Cust Fcst '!$G26*'Resid TSM UC Adj'!T25</f>
        <v>0</v>
      </c>
      <c r="Y25" s="41">
        <f>IF(SUM(V25:X25)=0,0,SUM(V25:X25)/'Resid Cust Fcst '!G26)</f>
        <v>0</v>
      </c>
      <c r="Z25" s="109">
        <f t="shared" si="3"/>
        <v>0</v>
      </c>
      <c r="AA25" s="23">
        <f t="shared" si="6"/>
        <v>0</v>
      </c>
      <c r="AB25" s="23">
        <f t="shared" si="7"/>
        <v>0</v>
      </c>
      <c r="AC25" s="41">
        <f>IF(SUM(Z25:AB25)=0,0,SUM(Z25:AB25)/'Resid Cust Fcst '!H26)</f>
        <v>0</v>
      </c>
    </row>
    <row r="26" spans="1:29" ht="13">
      <c r="A26" s="124" t="s">
        <v>18</v>
      </c>
      <c r="B26" s="109">
        <f>'Resid Cust Fcst '!$B27*'Resid TSM UC Adj'!J26</f>
        <v>0</v>
      </c>
      <c r="C26" s="23">
        <f>'Resid Cust Fcst '!$B27*'Resid TSM UC Adj'!K26</f>
        <v>0</v>
      </c>
      <c r="D26" s="23">
        <f>'Resid Cust Fcst '!$B27*'Resid TSM UC Adj'!L26</f>
        <v>0</v>
      </c>
      <c r="E26" s="41">
        <f>IF(SUM(B26:D26)=0,0,SUM(B26:D26)/'Resid Cust Fcst '!B27)</f>
        <v>0</v>
      </c>
      <c r="F26" s="109">
        <f>'Resid Cust Fcst '!$C27*'Resid TSM UC Adj'!J26</f>
        <v>0</v>
      </c>
      <c r="G26" s="23">
        <f>'Resid Cust Fcst '!$C27*'Resid TSM UC Adj'!K26</f>
        <v>0</v>
      </c>
      <c r="H26" s="23">
        <f>'Resid Cust Fcst '!$C27*'Resid TSM UC Adj'!L26</f>
        <v>0</v>
      </c>
      <c r="I26" s="41">
        <f>IF(SUM(F26:H26)=0,0,SUM(F26:H26)/'Resid Cust Fcst '!C27)</f>
        <v>0</v>
      </c>
      <c r="J26" s="109">
        <f>'Resid Cust Fcst '!$D27*'Resid TSM UC Adj'!J26</f>
        <v>0</v>
      </c>
      <c r="K26" s="23">
        <f>'Resid Cust Fcst '!$D27*'Resid TSM UC Adj'!K26</f>
        <v>0</v>
      </c>
      <c r="L26" s="23">
        <f>'Resid Cust Fcst '!$D27*'Resid TSM UC Adj'!L26</f>
        <v>0</v>
      </c>
      <c r="M26" s="41">
        <f>IF(SUM(J26:L26)=0,0,SUM(J26:L26)/'Resid Cust Fcst '!D27)</f>
        <v>0</v>
      </c>
      <c r="N26" s="109">
        <f>'Resid Cust Fcst '!$E27*'Resid TSM UC Adj'!N26</f>
        <v>0</v>
      </c>
      <c r="O26" s="23">
        <f>'Resid Cust Fcst '!$E27*'Resid TSM UC Adj'!O26</f>
        <v>0</v>
      </c>
      <c r="P26" s="23">
        <f>'Resid Cust Fcst '!$E27*'Resid TSM UC Adj'!P26</f>
        <v>0</v>
      </c>
      <c r="Q26" s="41">
        <f>IF(SUM(N26:P26)=0,0,SUM(N26:P26)/'Resid Cust Fcst '!E27)</f>
        <v>0</v>
      </c>
      <c r="R26" s="109">
        <f t="shared" si="2"/>
        <v>0</v>
      </c>
      <c r="S26" s="23">
        <f t="shared" si="4"/>
        <v>0</v>
      </c>
      <c r="T26" s="23">
        <f t="shared" si="5"/>
        <v>0</v>
      </c>
      <c r="U26" s="41">
        <f>IF(SUM(R26:T26)=0,0,SUM(R26:T26)/'Resid Cust Fcst '!F27)</f>
        <v>0</v>
      </c>
      <c r="V26" s="109">
        <f>'Resid Cust Fcst '!$G27*'Resid TSM UC Adj'!R26</f>
        <v>0</v>
      </c>
      <c r="W26" s="23">
        <f>'Resid Cust Fcst '!$G27*'Resid TSM UC Adj'!S26</f>
        <v>0</v>
      </c>
      <c r="X26" s="23">
        <f>'Resid Cust Fcst '!$G27*'Resid TSM UC Adj'!T26</f>
        <v>0</v>
      </c>
      <c r="Y26" s="41">
        <f>IF(SUM(V26:X26)=0,0,SUM(V26:X26)/'Resid Cust Fcst '!G27)</f>
        <v>0</v>
      </c>
      <c r="Z26" s="109">
        <f t="shared" si="3"/>
        <v>0</v>
      </c>
      <c r="AA26" s="23">
        <f t="shared" si="6"/>
        <v>0</v>
      </c>
      <c r="AB26" s="23">
        <f t="shared" si="7"/>
        <v>0</v>
      </c>
      <c r="AC26" s="41">
        <f>IF(SUM(Z26:AB26)=0,0,SUM(Z26:AB26)/'Resid Cust Fcst '!H27)</f>
        <v>0</v>
      </c>
    </row>
    <row r="27" spans="1:29" ht="13">
      <c r="A27" s="124" t="s">
        <v>19</v>
      </c>
      <c r="B27" s="109">
        <f>'Resid Cust Fcst '!$B28*'Resid TSM UC Adj'!J27</f>
        <v>0</v>
      </c>
      <c r="C27" s="23">
        <f>'Resid Cust Fcst '!$B28*'Resid TSM UC Adj'!K27</f>
        <v>0</v>
      </c>
      <c r="D27" s="23">
        <f>'Resid Cust Fcst '!$B28*'Resid TSM UC Adj'!L27</f>
        <v>0</v>
      </c>
      <c r="E27" s="41">
        <f>IF(SUM(B27:D27)=0,0,SUM(B27:D27)/'Resid Cust Fcst '!B28)</f>
        <v>0</v>
      </c>
      <c r="F27" s="109">
        <f>'Resid Cust Fcst '!$C28*'Resid TSM UC Adj'!J27</f>
        <v>0</v>
      </c>
      <c r="G27" s="23">
        <f>'Resid Cust Fcst '!$C28*'Resid TSM UC Adj'!K27</f>
        <v>0</v>
      </c>
      <c r="H27" s="23">
        <f>'Resid Cust Fcst '!$C28*'Resid TSM UC Adj'!L27</f>
        <v>0</v>
      </c>
      <c r="I27" s="41">
        <f>IF(SUM(F27:H27)=0,0,SUM(F27:H27)/'Resid Cust Fcst '!C28)</f>
        <v>0</v>
      </c>
      <c r="J27" s="109">
        <f>'Resid Cust Fcst '!$D28*'Resid TSM UC Adj'!J27</f>
        <v>0</v>
      </c>
      <c r="K27" s="23">
        <f>'Resid Cust Fcst '!$D28*'Resid TSM UC Adj'!K27</f>
        <v>0</v>
      </c>
      <c r="L27" s="23">
        <f>'Resid Cust Fcst '!$D28*'Resid TSM UC Adj'!L27</f>
        <v>0</v>
      </c>
      <c r="M27" s="41">
        <f>IF(SUM(J27:L27)=0,0,SUM(J27:L27)/'Resid Cust Fcst '!D28)</f>
        <v>0</v>
      </c>
      <c r="N27" s="109">
        <f>'Resid Cust Fcst '!$E28*'Resid TSM UC Adj'!N27</f>
        <v>0</v>
      </c>
      <c r="O27" s="23">
        <f>'Resid Cust Fcst '!$E28*'Resid TSM UC Adj'!O27</f>
        <v>0</v>
      </c>
      <c r="P27" s="23">
        <f>'Resid Cust Fcst '!$E28*'Resid TSM UC Adj'!P27</f>
        <v>0</v>
      </c>
      <c r="Q27" s="41">
        <f>IF(SUM(N27:P27)=0,0,SUM(N27:P27)/'Resid Cust Fcst '!E28)</f>
        <v>0</v>
      </c>
      <c r="R27" s="109">
        <f t="shared" si="2"/>
        <v>0</v>
      </c>
      <c r="S27" s="23">
        <f t="shared" si="4"/>
        <v>0</v>
      </c>
      <c r="T27" s="23">
        <f t="shared" si="5"/>
        <v>0</v>
      </c>
      <c r="U27" s="41">
        <f>IF(SUM(R27:T27)=0,0,SUM(R27:T27)/'Resid Cust Fcst '!F28)</f>
        <v>0</v>
      </c>
      <c r="V27" s="109">
        <f>'Resid Cust Fcst '!$G28*'Resid TSM UC Adj'!R27</f>
        <v>0</v>
      </c>
      <c r="W27" s="23">
        <f>'Resid Cust Fcst '!$G28*'Resid TSM UC Adj'!S27</f>
        <v>0</v>
      </c>
      <c r="X27" s="23">
        <f>'Resid Cust Fcst '!$G28*'Resid TSM UC Adj'!T27</f>
        <v>0</v>
      </c>
      <c r="Y27" s="41">
        <f>IF(SUM(V27:X27)=0,0,SUM(V27:X27)/'Resid Cust Fcst '!G28)</f>
        <v>0</v>
      </c>
      <c r="Z27" s="109">
        <f t="shared" si="3"/>
        <v>0</v>
      </c>
      <c r="AA27" s="23">
        <f t="shared" si="6"/>
        <v>0</v>
      </c>
      <c r="AB27" s="23">
        <f t="shared" si="7"/>
        <v>0</v>
      </c>
      <c r="AC27" s="41">
        <f>IF(SUM(Z27:AB27)=0,0,SUM(Z27:AB27)/'Resid Cust Fcst '!H28)</f>
        <v>0</v>
      </c>
    </row>
    <row r="28" spans="1:29" ht="13">
      <c r="A28" s="124" t="s">
        <v>20</v>
      </c>
      <c r="B28" s="109">
        <f>'Resid Cust Fcst '!$B29*'Resid TSM UC Adj'!J28</f>
        <v>0</v>
      </c>
      <c r="C28" s="23">
        <f>'Resid Cust Fcst '!$B29*'Resid TSM UC Adj'!K28</f>
        <v>0</v>
      </c>
      <c r="D28" s="23">
        <f>'Resid Cust Fcst '!$B29*'Resid TSM UC Adj'!L28</f>
        <v>0</v>
      </c>
      <c r="E28" s="41">
        <f>IF(SUM(B28:D28)=0,0,SUM(B28:D28)/'Resid Cust Fcst '!B29)</f>
        <v>0</v>
      </c>
      <c r="F28" s="109">
        <f>'Resid Cust Fcst '!$C29*'Resid TSM UC Adj'!J28</f>
        <v>0</v>
      </c>
      <c r="G28" s="23">
        <f>'Resid Cust Fcst '!$C29*'Resid TSM UC Adj'!K28</f>
        <v>0</v>
      </c>
      <c r="H28" s="23">
        <f>'Resid Cust Fcst '!$C29*'Resid TSM UC Adj'!L28</f>
        <v>0</v>
      </c>
      <c r="I28" s="41">
        <f>IF(SUM(F28:H28)=0,0,SUM(F28:H28)/'Resid Cust Fcst '!C29)</f>
        <v>0</v>
      </c>
      <c r="J28" s="109">
        <f>'Resid Cust Fcst '!$D29*'Resid TSM UC Adj'!J28</f>
        <v>0</v>
      </c>
      <c r="K28" s="23">
        <f>'Resid Cust Fcst '!$D29*'Resid TSM UC Adj'!K28</f>
        <v>0</v>
      </c>
      <c r="L28" s="23">
        <f>'Resid Cust Fcst '!$D29*'Resid TSM UC Adj'!L28</f>
        <v>0</v>
      </c>
      <c r="M28" s="41">
        <f>IF(SUM(J28:L28)=0,0,SUM(J28:L28)/'Resid Cust Fcst '!D29)</f>
        <v>0</v>
      </c>
      <c r="N28" s="109">
        <f>'Resid Cust Fcst '!$E29*'Resid TSM UC Adj'!N28</f>
        <v>0</v>
      </c>
      <c r="O28" s="23">
        <f>'Resid Cust Fcst '!$E29*'Resid TSM UC Adj'!O28</f>
        <v>0</v>
      </c>
      <c r="P28" s="23">
        <f>'Resid Cust Fcst '!$E29*'Resid TSM UC Adj'!P28</f>
        <v>0</v>
      </c>
      <c r="Q28" s="41">
        <f>IF(SUM(N28:P28)=0,0,SUM(N28:P28)/'Resid Cust Fcst '!E29)</f>
        <v>0</v>
      </c>
      <c r="R28" s="109">
        <f t="shared" si="2"/>
        <v>0</v>
      </c>
      <c r="S28" s="23">
        <f t="shared" si="4"/>
        <v>0</v>
      </c>
      <c r="T28" s="23">
        <f t="shared" si="5"/>
        <v>0</v>
      </c>
      <c r="U28" s="41">
        <f>IF(SUM(R28:T28)=0,0,SUM(R28:T28)/'Resid Cust Fcst '!F29)</f>
        <v>0</v>
      </c>
      <c r="V28" s="109">
        <f>'Resid Cust Fcst '!$G29*'Resid TSM UC Adj'!R28</f>
        <v>0</v>
      </c>
      <c r="W28" s="23">
        <f>'Resid Cust Fcst '!$G29*'Resid TSM UC Adj'!S28</f>
        <v>0</v>
      </c>
      <c r="X28" s="23">
        <f>'Resid Cust Fcst '!$G29*'Resid TSM UC Adj'!T28</f>
        <v>0</v>
      </c>
      <c r="Y28" s="41">
        <f>IF(SUM(V28:X28)=0,0,SUM(V28:X28)/'Resid Cust Fcst '!G29)</f>
        <v>0</v>
      </c>
      <c r="Z28" s="109">
        <f t="shared" si="3"/>
        <v>0</v>
      </c>
      <c r="AA28" s="23">
        <f t="shared" si="6"/>
        <v>0</v>
      </c>
      <c r="AB28" s="23">
        <f t="shared" si="7"/>
        <v>0</v>
      </c>
      <c r="AC28" s="41">
        <f>IF(SUM(Z28:AB28)=0,0,SUM(Z28:AB28)/'Resid Cust Fcst '!H29)</f>
        <v>0</v>
      </c>
    </row>
    <row r="29" spans="1:29" ht="13">
      <c r="A29" s="124" t="s">
        <v>21</v>
      </c>
      <c r="B29" s="109">
        <f>'Resid Cust Fcst '!$B30*'Resid TSM UC Adj'!J29</f>
        <v>0</v>
      </c>
      <c r="C29" s="23">
        <f>'Resid Cust Fcst '!$B30*'Resid TSM UC Adj'!K29</f>
        <v>0</v>
      </c>
      <c r="D29" s="23">
        <f>'Resid Cust Fcst '!$B30*'Resid TSM UC Adj'!L29</f>
        <v>0</v>
      </c>
      <c r="E29" s="41">
        <f>IF(SUM(B29:D29)=0,0,SUM(B29:D29)/'Resid Cust Fcst '!B30)</f>
        <v>0</v>
      </c>
      <c r="F29" s="109">
        <f>'Resid Cust Fcst '!$C30*'Resid TSM UC Adj'!J29</f>
        <v>0</v>
      </c>
      <c r="G29" s="23">
        <f>'Resid Cust Fcst '!$C30*'Resid TSM UC Adj'!K29</f>
        <v>0</v>
      </c>
      <c r="H29" s="23">
        <f>'Resid Cust Fcst '!$C30*'Resid TSM UC Adj'!L29</f>
        <v>0</v>
      </c>
      <c r="I29" s="41">
        <f>IF(SUM(F29:H29)=0,0,SUM(F29:H29)/'Resid Cust Fcst '!C30)</f>
        <v>0</v>
      </c>
      <c r="J29" s="109">
        <f>'Resid Cust Fcst '!$D30*'Resid TSM UC Adj'!J29</f>
        <v>0</v>
      </c>
      <c r="K29" s="23">
        <f>'Resid Cust Fcst '!$D30*'Resid TSM UC Adj'!K29</f>
        <v>0</v>
      </c>
      <c r="L29" s="23">
        <f>'Resid Cust Fcst '!$D30*'Resid TSM UC Adj'!L29</f>
        <v>0</v>
      </c>
      <c r="M29" s="41">
        <f>IF(SUM(J29:L29)=0,0,SUM(J29:L29)/'Resid Cust Fcst '!D30)</f>
        <v>0</v>
      </c>
      <c r="N29" s="109">
        <f>'Resid Cust Fcst '!$E30*'Resid TSM UC Adj'!N29</f>
        <v>0</v>
      </c>
      <c r="O29" s="23">
        <f>'Resid Cust Fcst '!$E30*'Resid TSM UC Adj'!O29</f>
        <v>0</v>
      </c>
      <c r="P29" s="23">
        <f>'Resid Cust Fcst '!$E30*'Resid TSM UC Adj'!P29</f>
        <v>0</v>
      </c>
      <c r="Q29" s="41">
        <f>IF(SUM(N29:P29)=0,0,SUM(N29:P29)/'Resid Cust Fcst '!E30)</f>
        <v>0</v>
      </c>
      <c r="R29" s="109">
        <f t="shared" si="2"/>
        <v>0</v>
      </c>
      <c r="S29" s="23">
        <f t="shared" si="4"/>
        <v>0</v>
      </c>
      <c r="T29" s="23">
        <f t="shared" si="5"/>
        <v>0</v>
      </c>
      <c r="U29" s="41">
        <f>IF(SUM(R29:T29)=0,0,SUM(R29:T29)/'Resid Cust Fcst '!F30)</f>
        <v>0</v>
      </c>
      <c r="V29" s="109">
        <f>'Resid Cust Fcst '!$G30*'Resid TSM UC Adj'!R29</f>
        <v>0</v>
      </c>
      <c r="W29" s="23">
        <f>'Resid Cust Fcst '!$G30*'Resid TSM UC Adj'!S29</f>
        <v>0</v>
      </c>
      <c r="X29" s="23">
        <f>'Resid Cust Fcst '!$G30*'Resid TSM UC Adj'!T29</f>
        <v>0</v>
      </c>
      <c r="Y29" s="41">
        <f>IF(SUM(V29:X29)=0,0,SUM(V29:X29)/'Resid Cust Fcst '!G30)</f>
        <v>0</v>
      </c>
      <c r="Z29" s="109">
        <f t="shared" si="3"/>
        <v>0</v>
      </c>
      <c r="AA29" s="23">
        <f t="shared" si="6"/>
        <v>0</v>
      </c>
      <c r="AB29" s="23">
        <f t="shared" si="7"/>
        <v>0</v>
      </c>
      <c r="AC29" s="41">
        <f>IF(SUM(Z29:AB29)=0,0,SUM(Z29:AB29)/'Resid Cust Fcst '!H30)</f>
        <v>0</v>
      </c>
    </row>
    <row r="30" spans="1:29" ht="13">
      <c r="A30" s="124" t="s">
        <v>22</v>
      </c>
      <c r="B30" s="109">
        <f>'Resid Cust Fcst '!$B31*'Resid TSM UC Adj'!J30</f>
        <v>0</v>
      </c>
      <c r="C30" s="23">
        <f>'Resid Cust Fcst '!$B31*'Resid TSM UC Adj'!K30</f>
        <v>0</v>
      </c>
      <c r="D30" s="23">
        <f>'Resid Cust Fcst '!$B31*'Resid TSM UC Adj'!L30</f>
        <v>0</v>
      </c>
      <c r="E30" s="41">
        <f>IF(SUM(B30:D30)=0,0,SUM(B30:D30)/'Resid Cust Fcst '!B31)</f>
        <v>0</v>
      </c>
      <c r="F30" s="109">
        <f>'Resid Cust Fcst '!$C31*'Resid TSM UC Adj'!J30</f>
        <v>0</v>
      </c>
      <c r="G30" s="23">
        <f>'Resid Cust Fcst '!$C31*'Resid TSM UC Adj'!K30</f>
        <v>0</v>
      </c>
      <c r="H30" s="23">
        <f>'Resid Cust Fcst '!$C31*'Resid TSM UC Adj'!L30</f>
        <v>0</v>
      </c>
      <c r="I30" s="41">
        <f>IF(SUM(F30:H30)=0,0,SUM(F30:H30)/'Resid Cust Fcst '!C31)</f>
        <v>0</v>
      </c>
      <c r="J30" s="109">
        <f>'Resid Cust Fcst '!$D31*'Resid TSM UC Adj'!J30</f>
        <v>0</v>
      </c>
      <c r="K30" s="23">
        <f>'Resid Cust Fcst '!$D31*'Resid TSM UC Adj'!K30</f>
        <v>0</v>
      </c>
      <c r="L30" s="23">
        <f>'Resid Cust Fcst '!$D31*'Resid TSM UC Adj'!L30</f>
        <v>0</v>
      </c>
      <c r="M30" s="41">
        <f>IF(SUM(J30:L30)=0,0,SUM(J30:L30)/'Resid Cust Fcst '!D31)</f>
        <v>0</v>
      </c>
      <c r="N30" s="109">
        <f>'Resid Cust Fcst '!$E31*'Resid TSM UC Adj'!N30</f>
        <v>0</v>
      </c>
      <c r="O30" s="23">
        <f>'Resid Cust Fcst '!$E31*'Resid TSM UC Adj'!O30</f>
        <v>0</v>
      </c>
      <c r="P30" s="23">
        <f>'Resid Cust Fcst '!$E31*'Resid TSM UC Adj'!P30</f>
        <v>0</v>
      </c>
      <c r="Q30" s="41">
        <f>IF(SUM(N30:P30)=0,0,SUM(N30:P30)/'Resid Cust Fcst '!E31)</f>
        <v>0</v>
      </c>
      <c r="R30" s="109">
        <f t="shared" si="2"/>
        <v>0</v>
      </c>
      <c r="S30" s="23">
        <f t="shared" si="4"/>
        <v>0</v>
      </c>
      <c r="T30" s="23">
        <f t="shared" si="5"/>
        <v>0</v>
      </c>
      <c r="U30" s="41">
        <f>IF(SUM(R30:T30)=0,0,SUM(R30:T30)/'Resid Cust Fcst '!F31)</f>
        <v>0</v>
      </c>
      <c r="V30" s="109">
        <f>'Resid Cust Fcst '!$G31*'Resid TSM UC Adj'!R30</f>
        <v>0</v>
      </c>
      <c r="W30" s="23">
        <f>'Resid Cust Fcst '!$G31*'Resid TSM UC Adj'!S30</f>
        <v>0</v>
      </c>
      <c r="X30" s="23">
        <f>'Resid Cust Fcst '!$G31*'Resid TSM UC Adj'!T30</f>
        <v>0</v>
      </c>
      <c r="Y30" s="41">
        <f>IF(SUM(V30:X30)=0,0,SUM(V30:X30)/'Resid Cust Fcst '!G31)</f>
        <v>0</v>
      </c>
      <c r="Z30" s="109">
        <f t="shared" si="3"/>
        <v>0</v>
      </c>
      <c r="AA30" s="23">
        <f t="shared" si="6"/>
        <v>0</v>
      </c>
      <c r="AB30" s="23">
        <f t="shared" si="7"/>
        <v>0</v>
      </c>
      <c r="AC30" s="41">
        <f>IF(SUM(Z30:AB30)=0,0,SUM(Z30:AB30)/'Resid Cust Fcst '!H31)</f>
        <v>0</v>
      </c>
    </row>
    <row r="31" spans="1:29" ht="13">
      <c r="A31" s="124" t="s">
        <v>23</v>
      </c>
      <c r="B31" s="109">
        <f>'Resid Cust Fcst '!$B32*'Resid TSM UC Adj'!J31</f>
        <v>0</v>
      </c>
      <c r="C31" s="23">
        <f>'Resid Cust Fcst '!$B32*'Resid TSM UC Adj'!K31</f>
        <v>0</v>
      </c>
      <c r="D31" s="23">
        <f>'Resid Cust Fcst '!$B32*'Resid TSM UC Adj'!L31</f>
        <v>0</v>
      </c>
      <c r="E31" s="41">
        <f>IF(SUM(B31:D31)=0,0,SUM(B31:D31)/'Resid Cust Fcst '!B32)</f>
        <v>0</v>
      </c>
      <c r="F31" s="109">
        <f>'Resid Cust Fcst '!$C32*'Resid TSM UC Adj'!J31</f>
        <v>0</v>
      </c>
      <c r="G31" s="23">
        <f>'Resid Cust Fcst '!$C32*'Resid TSM UC Adj'!K31</f>
        <v>0</v>
      </c>
      <c r="H31" s="23">
        <f>'Resid Cust Fcst '!$C32*'Resid TSM UC Adj'!L31</f>
        <v>0</v>
      </c>
      <c r="I31" s="41">
        <f>IF(SUM(F31:H31)=0,0,SUM(F31:H31)/'Resid Cust Fcst '!C32)</f>
        <v>0</v>
      </c>
      <c r="J31" s="109">
        <f>'Resid Cust Fcst '!$D32*'Resid TSM UC Adj'!J31</f>
        <v>0</v>
      </c>
      <c r="K31" s="23">
        <f>'Resid Cust Fcst '!$D32*'Resid TSM UC Adj'!K31</f>
        <v>0</v>
      </c>
      <c r="L31" s="23">
        <f>'Resid Cust Fcst '!$D32*'Resid TSM UC Adj'!L31</f>
        <v>0</v>
      </c>
      <c r="M31" s="41">
        <f>IF(SUM(J31:L31)=0,0,SUM(J31:L31)/'Resid Cust Fcst '!D32)</f>
        <v>0</v>
      </c>
      <c r="N31" s="109">
        <f>'Resid Cust Fcst '!$E32*'Resid TSM UC Adj'!N31</f>
        <v>0</v>
      </c>
      <c r="O31" s="23">
        <f>'Resid Cust Fcst '!$E32*'Resid TSM UC Adj'!O31</f>
        <v>0</v>
      </c>
      <c r="P31" s="23">
        <f>'Resid Cust Fcst '!$E32*'Resid TSM UC Adj'!P31</f>
        <v>0</v>
      </c>
      <c r="Q31" s="41">
        <f>IF(SUM(N31:P31)=0,0,SUM(N31:P31)/'Resid Cust Fcst '!E32)</f>
        <v>0</v>
      </c>
      <c r="R31" s="109">
        <f t="shared" si="2"/>
        <v>0</v>
      </c>
      <c r="S31" s="23">
        <f t="shared" si="4"/>
        <v>0</v>
      </c>
      <c r="T31" s="23">
        <f t="shared" si="5"/>
        <v>0</v>
      </c>
      <c r="U31" s="41">
        <f>IF(SUM(R31:T31)=0,0,SUM(R31:T31)/'Resid Cust Fcst '!F32)</f>
        <v>0</v>
      </c>
      <c r="V31" s="109">
        <f>'Resid Cust Fcst '!$G32*'Resid TSM UC Adj'!R31</f>
        <v>0</v>
      </c>
      <c r="W31" s="23">
        <f>'Resid Cust Fcst '!$G32*'Resid TSM UC Adj'!S31</f>
        <v>0</v>
      </c>
      <c r="X31" s="23">
        <f>'Resid Cust Fcst '!$G32*'Resid TSM UC Adj'!T31</f>
        <v>0</v>
      </c>
      <c r="Y31" s="41">
        <f>IF(SUM(V31:X31)=0,0,SUM(V31:X31)/'Resid Cust Fcst '!G32)</f>
        <v>0</v>
      </c>
      <c r="Z31" s="109">
        <f t="shared" si="3"/>
        <v>0</v>
      </c>
      <c r="AA31" s="23">
        <f t="shared" si="6"/>
        <v>0</v>
      </c>
      <c r="AB31" s="23">
        <f t="shared" si="7"/>
        <v>0</v>
      </c>
      <c r="AC31" s="41">
        <f>IF(SUM(Z31:AB31)=0,0,SUM(Z31:AB31)/'Resid Cust Fcst '!H32)</f>
        <v>0</v>
      </c>
    </row>
    <row r="32" spans="1:29" ht="13">
      <c r="A32" s="124" t="s">
        <v>24</v>
      </c>
      <c r="B32" s="109">
        <f>'Resid Cust Fcst '!$B33*'Resid TSM UC Adj'!J32</f>
        <v>0</v>
      </c>
      <c r="C32" s="23">
        <f>'Resid Cust Fcst '!$B33*'Resid TSM UC Adj'!K32</f>
        <v>0</v>
      </c>
      <c r="D32" s="23">
        <f>'Resid Cust Fcst '!$B33*'Resid TSM UC Adj'!L32</f>
        <v>0</v>
      </c>
      <c r="E32" s="41">
        <f>IF(SUM(B32:D32)=0,0,SUM(B32:D32)/'Resid Cust Fcst '!B33)</f>
        <v>0</v>
      </c>
      <c r="F32" s="109">
        <f>'Resid Cust Fcst '!$C33*'Resid TSM UC Adj'!J32</f>
        <v>0</v>
      </c>
      <c r="G32" s="23">
        <f>'Resid Cust Fcst '!$C33*'Resid TSM UC Adj'!K32</f>
        <v>0</v>
      </c>
      <c r="H32" s="23">
        <f>'Resid Cust Fcst '!$C33*'Resid TSM UC Adj'!L32</f>
        <v>0</v>
      </c>
      <c r="I32" s="41">
        <f>IF(SUM(F32:H32)=0,0,SUM(F32:H32)/'Resid Cust Fcst '!C33)</f>
        <v>0</v>
      </c>
      <c r="J32" s="109">
        <f>'Resid Cust Fcst '!$D33*'Resid TSM UC Adj'!J32</f>
        <v>0</v>
      </c>
      <c r="K32" s="23">
        <f>'Resid Cust Fcst '!$D33*'Resid TSM UC Adj'!K32</f>
        <v>0</v>
      </c>
      <c r="L32" s="23">
        <f>'Resid Cust Fcst '!$D33*'Resid TSM UC Adj'!L32</f>
        <v>0</v>
      </c>
      <c r="M32" s="41">
        <f>IF(SUM(J32:L32)=0,0,SUM(J32:L32)/'Resid Cust Fcst '!D33)</f>
        <v>0</v>
      </c>
      <c r="N32" s="109">
        <f>'Resid Cust Fcst '!$E33*'Resid TSM UC Adj'!N32</f>
        <v>0</v>
      </c>
      <c r="O32" s="23">
        <f>'Resid Cust Fcst '!$E33*'Resid TSM UC Adj'!O32</f>
        <v>0</v>
      </c>
      <c r="P32" s="23">
        <f>'Resid Cust Fcst '!$E33*'Resid TSM UC Adj'!P32</f>
        <v>0</v>
      </c>
      <c r="Q32" s="41">
        <f>IF(SUM(N32:P32)=0,0,SUM(N32:P32)/'Resid Cust Fcst '!E33)</f>
        <v>0</v>
      </c>
      <c r="R32" s="109">
        <f t="shared" si="2"/>
        <v>0</v>
      </c>
      <c r="S32" s="23">
        <f t="shared" si="4"/>
        <v>0</v>
      </c>
      <c r="T32" s="23">
        <f t="shared" si="5"/>
        <v>0</v>
      </c>
      <c r="U32" s="41">
        <f>IF(SUM(R32:T32)=0,0,SUM(R32:T32)/'Resid Cust Fcst '!F33)</f>
        <v>0</v>
      </c>
      <c r="V32" s="109">
        <f>'Resid Cust Fcst '!$G33*'Resid TSM UC Adj'!R32</f>
        <v>0</v>
      </c>
      <c r="W32" s="23">
        <f>'Resid Cust Fcst '!$G33*'Resid TSM UC Adj'!S32</f>
        <v>0</v>
      </c>
      <c r="X32" s="23">
        <f>'Resid Cust Fcst '!$G33*'Resid TSM UC Adj'!T32</f>
        <v>0</v>
      </c>
      <c r="Y32" s="41">
        <f>IF(SUM(V32:X32)=0,0,SUM(V32:X32)/'Resid Cust Fcst '!G33)</f>
        <v>0</v>
      </c>
      <c r="Z32" s="109">
        <f t="shared" si="3"/>
        <v>0</v>
      </c>
      <c r="AA32" s="23">
        <f t="shared" si="6"/>
        <v>0</v>
      </c>
      <c r="AB32" s="23">
        <f t="shared" si="7"/>
        <v>0</v>
      </c>
      <c r="AC32" s="41">
        <f>IF(SUM(Z32:AB32)=0,0,SUM(Z32:AB32)/'Resid Cust Fcst '!H33)</f>
        <v>0</v>
      </c>
    </row>
    <row r="33" spans="1:29" ht="13">
      <c r="A33" s="124" t="s">
        <v>25</v>
      </c>
      <c r="B33" s="109">
        <f>'Resid Cust Fcst '!$B34*'Resid TSM UC Adj'!J33</f>
        <v>0</v>
      </c>
      <c r="C33" s="23">
        <f>'Resid Cust Fcst '!$B34*'Resid TSM UC Adj'!K33</f>
        <v>0</v>
      </c>
      <c r="D33" s="23">
        <f>'Resid Cust Fcst '!$B34*'Resid TSM UC Adj'!L33</f>
        <v>0</v>
      </c>
      <c r="E33" s="41">
        <f>IF(SUM(B33:D33)=0,0,SUM(B33:D33)/'Resid Cust Fcst '!B34)</f>
        <v>0</v>
      </c>
      <c r="F33" s="109">
        <f>'Resid Cust Fcst '!$C34*'Resid TSM UC Adj'!J33</f>
        <v>0</v>
      </c>
      <c r="G33" s="23">
        <f>'Resid Cust Fcst '!$C34*'Resid TSM UC Adj'!K33</f>
        <v>0</v>
      </c>
      <c r="H33" s="23">
        <f>'Resid Cust Fcst '!$C34*'Resid TSM UC Adj'!L33</f>
        <v>0</v>
      </c>
      <c r="I33" s="41">
        <f>IF(SUM(F33:H33)=0,0,SUM(F33:H33)/'Resid Cust Fcst '!C34)</f>
        <v>0</v>
      </c>
      <c r="J33" s="109">
        <f>'Resid Cust Fcst '!$D34*'Resid TSM UC Adj'!J33</f>
        <v>0</v>
      </c>
      <c r="K33" s="23">
        <f>'Resid Cust Fcst '!$D34*'Resid TSM UC Adj'!K33</f>
        <v>0</v>
      </c>
      <c r="L33" s="23">
        <f>'Resid Cust Fcst '!$D34*'Resid TSM UC Adj'!L33</f>
        <v>0</v>
      </c>
      <c r="M33" s="41">
        <f>IF(SUM(J33:L33)=0,0,SUM(J33:L33)/'Resid Cust Fcst '!D34)</f>
        <v>0</v>
      </c>
      <c r="N33" s="109">
        <f>'Resid Cust Fcst '!$E34*'Resid TSM UC Adj'!N33</f>
        <v>0</v>
      </c>
      <c r="O33" s="23">
        <f>'Resid Cust Fcst '!$E34*'Resid TSM UC Adj'!O33</f>
        <v>0</v>
      </c>
      <c r="P33" s="23">
        <f>'Resid Cust Fcst '!$E34*'Resid TSM UC Adj'!P33</f>
        <v>0</v>
      </c>
      <c r="Q33" s="41">
        <f>IF(SUM(N33:P33)=0,0,SUM(N33:P33)/'Resid Cust Fcst '!E34)</f>
        <v>0</v>
      </c>
      <c r="R33" s="109">
        <f t="shared" si="2"/>
        <v>0</v>
      </c>
      <c r="S33" s="23">
        <f t="shared" si="4"/>
        <v>0</v>
      </c>
      <c r="T33" s="23">
        <f t="shared" si="5"/>
        <v>0</v>
      </c>
      <c r="U33" s="41">
        <f>IF(SUM(R33:T33)=0,0,SUM(R33:T33)/'Resid Cust Fcst '!F34)</f>
        <v>0</v>
      </c>
      <c r="V33" s="109">
        <f>'Resid Cust Fcst '!$G34*'Resid TSM UC Adj'!R33</f>
        <v>0</v>
      </c>
      <c r="W33" s="23">
        <f>'Resid Cust Fcst '!$G34*'Resid TSM UC Adj'!S33</f>
        <v>0</v>
      </c>
      <c r="X33" s="23">
        <f>'Resid Cust Fcst '!$G34*'Resid TSM UC Adj'!T33</f>
        <v>0</v>
      </c>
      <c r="Y33" s="41">
        <f>IF(SUM(V33:X33)=0,0,SUM(V33:X33)/'Resid Cust Fcst '!G34)</f>
        <v>0</v>
      </c>
      <c r="Z33" s="109">
        <f t="shared" si="3"/>
        <v>0</v>
      </c>
      <c r="AA33" s="23">
        <f t="shared" si="6"/>
        <v>0</v>
      </c>
      <c r="AB33" s="23">
        <f t="shared" si="7"/>
        <v>0</v>
      </c>
      <c r="AC33" s="41">
        <f>IF(SUM(Z33:AB33)=0,0,SUM(Z33:AB33)/'Resid Cust Fcst '!H34)</f>
        <v>0</v>
      </c>
    </row>
    <row r="34" spans="1:29" ht="13">
      <c r="A34" s="124" t="s">
        <v>106</v>
      </c>
      <c r="B34" s="109">
        <f>'Resid Cust Fcst '!$B35*'Resid TSM UC Adj'!J34</f>
        <v>0</v>
      </c>
      <c r="C34" s="23">
        <f>'Resid Cust Fcst '!$B35*'Resid TSM UC Adj'!K34</f>
        <v>0</v>
      </c>
      <c r="D34" s="23">
        <f>'Resid Cust Fcst '!$B35*'Resid TSM UC Adj'!L34</f>
        <v>0</v>
      </c>
      <c r="E34" s="41">
        <f>IF(SUM(B34:D34)=0,0,SUM(B34:D34)/'Resid Cust Fcst '!B35)</f>
        <v>0</v>
      </c>
      <c r="F34" s="109">
        <f>'Resid Cust Fcst '!$C35*'Resid TSM UC Adj'!J34</f>
        <v>0</v>
      </c>
      <c r="G34" s="23">
        <f>'Resid Cust Fcst '!$C35*'Resid TSM UC Adj'!K34</f>
        <v>0</v>
      </c>
      <c r="H34" s="23">
        <f>'Resid Cust Fcst '!$C35*'Resid TSM UC Adj'!L34</f>
        <v>0</v>
      </c>
      <c r="I34" s="41">
        <f>IF(SUM(F34:H34)=0,0,SUM(F34:H34)/'Resid Cust Fcst '!C35)</f>
        <v>0</v>
      </c>
      <c r="J34" s="109">
        <f>'Resid Cust Fcst '!$D35*'Resid TSM UC Adj'!J34</f>
        <v>0</v>
      </c>
      <c r="K34" s="23">
        <f>'Resid Cust Fcst '!$D35*'Resid TSM UC Adj'!K34</f>
        <v>0</v>
      </c>
      <c r="L34" s="23">
        <f>'Resid Cust Fcst '!$D35*'Resid TSM UC Adj'!L34</f>
        <v>0</v>
      </c>
      <c r="M34" s="41">
        <f>IF(SUM(J34:L34)=0,0,SUM(J34:L34)/'Resid Cust Fcst '!D35)</f>
        <v>0</v>
      </c>
      <c r="N34" s="109">
        <f>'Resid Cust Fcst '!$E35*'Resid TSM UC Adj'!N34</f>
        <v>0</v>
      </c>
      <c r="O34" s="23">
        <f>'Resid Cust Fcst '!$E35*'Resid TSM UC Adj'!O34</f>
        <v>0</v>
      </c>
      <c r="P34" s="23">
        <f>'Resid Cust Fcst '!$E35*'Resid TSM UC Adj'!P34</f>
        <v>0</v>
      </c>
      <c r="Q34" s="41">
        <f>IF(SUM(N34:P34)=0,0,SUM(N34:P34)/'Resid Cust Fcst '!E35)</f>
        <v>0</v>
      </c>
      <c r="R34" s="109">
        <f t="shared" si="2"/>
        <v>0</v>
      </c>
      <c r="S34" s="23">
        <f t="shared" si="4"/>
        <v>0</v>
      </c>
      <c r="T34" s="23">
        <f t="shared" si="5"/>
        <v>0</v>
      </c>
      <c r="U34" s="41">
        <f>IF(SUM(R34:T34)=0,0,SUM(R34:T34)/'Resid Cust Fcst '!F35)</f>
        <v>0</v>
      </c>
      <c r="V34" s="109">
        <f>'Resid Cust Fcst '!$G35*'Resid TSM UC Adj'!R34</f>
        <v>0</v>
      </c>
      <c r="W34" s="23">
        <f>'Resid Cust Fcst '!$G35*'Resid TSM UC Adj'!S34</f>
        <v>0</v>
      </c>
      <c r="X34" s="23">
        <f>'Resid Cust Fcst '!$G35*'Resid TSM UC Adj'!T34</f>
        <v>0</v>
      </c>
      <c r="Y34" s="41">
        <f>IF(SUM(V34:X34)=0,0,SUM(V34:X34)/'Resid Cust Fcst '!G35)</f>
        <v>0</v>
      </c>
      <c r="Z34" s="109">
        <f t="shared" si="3"/>
        <v>0</v>
      </c>
      <c r="AA34" s="23">
        <f t="shared" si="6"/>
        <v>0</v>
      </c>
      <c r="AB34" s="23">
        <f t="shared" si="7"/>
        <v>0</v>
      </c>
      <c r="AC34" s="41">
        <f>IF(SUM(Z34:AB34)=0,0,SUM(Z34:AB34)/'Resid Cust Fcst '!H35)</f>
        <v>0</v>
      </c>
    </row>
    <row r="35" spans="1:29" ht="13">
      <c r="A35" s="124" t="s">
        <v>107</v>
      </c>
      <c r="B35" s="109">
        <f>'Resid Cust Fcst '!$B36*'Resid TSM UC Adj'!J35</f>
        <v>0</v>
      </c>
      <c r="C35" s="23">
        <f>'Resid Cust Fcst '!$B36*'Resid TSM UC Adj'!K35</f>
        <v>0</v>
      </c>
      <c r="D35" s="23">
        <f>'Resid Cust Fcst '!$B36*'Resid TSM UC Adj'!L35</f>
        <v>0</v>
      </c>
      <c r="E35" s="41">
        <f>IF(SUM(B35:D35)=0,0,SUM(B35:D35)/'Resid Cust Fcst '!B36)</f>
        <v>0</v>
      </c>
      <c r="F35" s="109">
        <f>'Resid Cust Fcst '!$C36*'Resid TSM UC Adj'!J35</f>
        <v>0</v>
      </c>
      <c r="G35" s="23">
        <f>'Resid Cust Fcst '!$C36*'Resid TSM UC Adj'!K35</f>
        <v>0</v>
      </c>
      <c r="H35" s="23">
        <f>'Resid Cust Fcst '!$C36*'Resid TSM UC Adj'!L35</f>
        <v>0</v>
      </c>
      <c r="I35" s="41">
        <f>IF(SUM(F35:H35)=0,0,SUM(F35:H35)/'Resid Cust Fcst '!C36)</f>
        <v>0</v>
      </c>
      <c r="J35" s="109">
        <f>'Resid Cust Fcst '!$D36*'Resid TSM UC Adj'!J35</f>
        <v>0</v>
      </c>
      <c r="K35" s="23">
        <f>'Resid Cust Fcst '!$D36*'Resid TSM UC Adj'!K35</f>
        <v>0</v>
      </c>
      <c r="L35" s="23">
        <f>'Resid Cust Fcst '!$D36*'Resid TSM UC Adj'!L35</f>
        <v>0</v>
      </c>
      <c r="M35" s="41">
        <f>IF(SUM(J35:L35)=0,0,SUM(J35:L35)/'Resid Cust Fcst '!D36)</f>
        <v>0</v>
      </c>
      <c r="N35" s="109">
        <f>'Resid Cust Fcst '!$E36*'Resid TSM UC Adj'!N35</f>
        <v>0</v>
      </c>
      <c r="O35" s="23">
        <f>'Resid Cust Fcst '!$E36*'Resid TSM UC Adj'!O35</f>
        <v>0</v>
      </c>
      <c r="P35" s="23">
        <f>'Resid Cust Fcst '!$E36*'Resid TSM UC Adj'!P35</f>
        <v>0</v>
      </c>
      <c r="Q35" s="41">
        <f>IF(SUM(N35:P35)=0,0,SUM(N35:P35)/'Resid Cust Fcst '!E36)</f>
        <v>0</v>
      </c>
      <c r="R35" s="109">
        <f t="shared" si="2"/>
        <v>0</v>
      </c>
      <c r="S35" s="23">
        <f t="shared" si="4"/>
        <v>0</v>
      </c>
      <c r="T35" s="23">
        <f t="shared" si="5"/>
        <v>0</v>
      </c>
      <c r="U35" s="41">
        <f>IF(SUM(R35:T35)=0,0,SUM(R35:T35)/'Resid Cust Fcst '!F36)</f>
        <v>0</v>
      </c>
      <c r="V35" s="109">
        <f>'Resid Cust Fcst '!$G36*'Resid TSM UC Adj'!R35</f>
        <v>0</v>
      </c>
      <c r="W35" s="23">
        <f>'Resid Cust Fcst '!$G36*'Resid TSM UC Adj'!S35</f>
        <v>0</v>
      </c>
      <c r="X35" s="23">
        <f>'Resid Cust Fcst '!$G36*'Resid TSM UC Adj'!T35</f>
        <v>0</v>
      </c>
      <c r="Y35" s="41">
        <f>IF(SUM(V35:X35)=0,0,SUM(V35:X35)/'Resid Cust Fcst '!G36)</f>
        <v>0</v>
      </c>
      <c r="Z35" s="109">
        <f t="shared" si="3"/>
        <v>0</v>
      </c>
      <c r="AA35" s="23">
        <f t="shared" si="6"/>
        <v>0</v>
      </c>
      <c r="AB35" s="23">
        <f t="shared" si="7"/>
        <v>0</v>
      </c>
      <c r="AC35" s="41">
        <f>IF(SUM(Z35:AB35)=0,0,SUM(Z35:AB35)/'Resid Cust Fcst '!H36)</f>
        <v>0</v>
      </c>
    </row>
    <row r="36" spans="1:29" ht="13">
      <c r="A36" s="124" t="s">
        <v>26</v>
      </c>
      <c r="B36" s="109">
        <f>'Resid Cust Fcst '!$B37*'Resid TSM UC Adj'!J36</f>
        <v>0</v>
      </c>
      <c r="C36" s="23">
        <f>'Resid Cust Fcst '!$B37*'Resid TSM UC Adj'!K36</f>
        <v>0</v>
      </c>
      <c r="D36" s="23">
        <f>'Resid Cust Fcst '!$B37*'Resid TSM UC Adj'!L36</f>
        <v>0</v>
      </c>
      <c r="E36" s="41">
        <f>IF(SUM(B36:D36)=0,0,SUM(B36:D36)/'Resid Cust Fcst '!B37)</f>
        <v>0</v>
      </c>
      <c r="F36" s="109">
        <f>'Resid Cust Fcst '!$C37*'Resid TSM UC Adj'!J36</f>
        <v>0</v>
      </c>
      <c r="G36" s="23">
        <f>'Resid Cust Fcst '!$C37*'Resid TSM UC Adj'!K36</f>
        <v>0</v>
      </c>
      <c r="H36" s="23">
        <f>'Resid Cust Fcst '!$C37*'Resid TSM UC Adj'!L36</f>
        <v>0</v>
      </c>
      <c r="I36" s="41">
        <f>IF(SUM(F36:H36)=0,0,SUM(F36:H36)/'Resid Cust Fcst '!C37)</f>
        <v>0</v>
      </c>
      <c r="J36" s="109">
        <f>'Resid Cust Fcst '!$D37*'Resid TSM UC Adj'!J36</f>
        <v>0</v>
      </c>
      <c r="K36" s="23">
        <f>'Resid Cust Fcst '!$D37*'Resid TSM UC Adj'!K36</f>
        <v>0</v>
      </c>
      <c r="L36" s="23">
        <f>'Resid Cust Fcst '!$D37*'Resid TSM UC Adj'!L36</f>
        <v>0</v>
      </c>
      <c r="M36" s="41">
        <f>IF(SUM(J36:L36)=0,0,SUM(J36:L36)/'Resid Cust Fcst '!D37)</f>
        <v>0</v>
      </c>
      <c r="N36" s="109">
        <f>'Resid Cust Fcst '!$E37*'Resid TSM UC Adj'!N36</f>
        <v>0</v>
      </c>
      <c r="O36" s="23">
        <f>'Resid Cust Fcst '!$E37*'Resid TSM UC Adj'!O36</f>
        <v>0</v>
      </c>
      <c r="P36" s="23">
        <f>'Resid Cust Fcst '!$E37*'Resid TSM UC Adj'!P36</f>
        <v>0</v>
      </c>
      <c r="Q36" s="41">
        <f>IF(SUM(N36:P36)=0,0,SUM(N36:P36)/'Resid Cust Fcst '!E37)</f>
        <v>0</v>
      </c>
      <c r="R36" s="109">
        <f t="shared" si="2"/>
        <v>0</v>
      </c>
      <c r="S36" s="23">
        <f t="shared" si="4"/>
        <v>0</v>
      </c>
      <c r="T36" s="23">
        <f t="shared" si="5"/>
        <v>0</v>
      </c>
      <c r="U36" s="41">
        <f>IF(SUM(R36:T36)=0,0,SUM(R36:T36)/'Resid Cust Fcst '!F37)</f>
        <v>0</v>
      </c>
      <c r="V36" s="109">
        <f>'Resid Cust Fcst '!$G37*'Resid TSM UC Adj'!R36</f>
        <v>0</v>
      </c>
      <c r="W36" s="23">
        <f>'Resid Cust Fcst '!$G37*'Resid TSM UC Adj'!S36</f>
        <v>0</v>
      </c>
      <c r="X36" s="23">
        <f>'Resid Cust Fcst '!$G37*'Resid TSM UC Adj'!T36</f>
        <v>0</v>
      </c>
      <c r="Y36" s="41">
        <f>IF(SUM(V36:X36)=0,0,SUM(V36:X36)/'Resid Cust Fcst '!G37)</f>
        <v>0</v>
      </c>
      <c r="Z36" s="109">
        <f t="shared" si="3"/>
        <v>0</v>
      </c>
      <c r="AA36" s="23">
        <f t="shared" si="6"/>
        <v>0</v>
      </c>
      <c r="AB36" s="23">
        <f t="shared" si="7"/>
        <v>0</v>
      </c>
      <c r="AC36" s="41">
        <f>IF(SUM(Z36:AB36)=0,0,SUM(Z36:AB36)/'Resid Cust Fcst '!H37)</f>
        <v>0</v>
      </c>
    </row>
    <row r="37" spans="1:29" ht="13">
      <c r="A37" s="124" t="s">
        <v>27</v>
      </c>
      <c r="B37" s="109">
        <f>'Resid Cust Fcst '!$B38*'Resid TSM UC Adj'!J37</f>
        <v>0</v>
      </c>
      <c r="C37" s="23">
        <f>'Resid Cust Fcst '!$B38*'Resid TSM UC Adj'!K37</f>
        <v>0</v>
      </c>
      <c r="D37" s="23">
        <f>'Resid Cust Fcst '!$B38*'Resid TSM UC Adj'!L37</f>
        <v>0</v>
      </c>
      <c r="E37" s="41">
        <f>IF(SUM(B37:D37)=0,0,SUM(B37:D37)/'Resid Cust Fcst '!B38)</f>
        <v>0</v>
      </c>
      <c r="F37" s="109">
        <f>'Resid Cust Fcst '!$C38*'Resid TSM UC Adj'!J37</f>
        <v>0</v>
      </c>
      <c r="G37" s="23">
        <f>'Resid Cust Fcst '!$C38*'Resid TSM UC Adj'!K37</f>
        <v>0</v>
      </c>
      <c r="H37" s="23">
        <f>'Resid Cust Fcst '!$C38*'Resid TSM UC Adj'!L37</f>
        <v>0</v>
      </c>
      <c r="I37" s="41">
        <f>IF(SUM(F37:H37)=0,0,SUM(F37:H37)/'Resid Cust Fcst '!C38)</f>
        <v>0</v>
      </c>
      <c r="J37" s="109">
        <f>'Resid Cust Fcst '!$D38*'Resid TSM UC Adj'!J37</f>
        <v>0</v>
      </c>
      <c r="K37" s="23">
        <f>'Resid Cust Fcst '!$D38*'Resid TSM UC Adj'!K37</f>
        <v>0</v>
      </c>
      <c r="L37" s="23">
        <f>'Resid Cust Fcst '!$D38*'Resid TSM UC Adj'!L37</f>
        <v>0</v>
      </c>
      <c r="M37" s="41">
        <f>IF(SUM(J37:L37)=0,0,SUM(J37:L37)/'Resid Cust Fcst '!D38)</f>
        <v>0</v>
      </c>
      <c r="N37" s="109">
        <f>'Resid Cust Fcst '!$E38*'Resid TSM UC Adj'!N37</f>
        <v>0</v>
      </c>
      <c r="O37" s="23">
        <f>'Resid Cust Fcst '!$E38*'Resid TSM UC Adj'!O37</f>
        <v>0</v>
      </c>
      <c r="P37" s="23">
        <f>'Resid Cust Fcst '!$E38*'Resid TSM UC Adj'!P37</f>
        <v>0</v>
      </c>
      <c r="Q37" s="41">
        <f>IF(SUM(N37:P37)=0,0,SUM(N37:P37)/'Resid Cust Fcst '!E38)</f>
        <v>0</v>
      </c>
      <c r="R37" s="109">
        <f t="shared" si="2"/>
        <v>0</v>
      </c>
      <c r="S37" s="23">
        <f t="shared" si="4"/>
        <v>0</v>
      </c>
      <c r="T37" s="23">
        <f t="shared" si="5"/>
        <v>0</v>
      </c>
      <c r="U37" s="41">
        <f>IF(SUM(R37:T37)=0,0,SUM(R37:T37)/'Resid Cust Fcst '!F38)</f>
        <v>0</v>
      </c>
      <c r="V37" s="109">
        <f>'Resid Cust Fcst '!$G38*'Resid TSM UC Adj'!R37</f>
        <v>0</v>
      </c>
      <c r="W37" s="23">
        <f>'Resid Cust Fcst '!$G38*'Resid TSM UC Adj'!S37</f>
        <v>0</v>
      </c>
      <c r="X37" s="23">
        <f>'Resid Cust Fcst '!$G38*'Resid TSM UC Adj'!T37</f>
        <v>0</v>
      </c>
      <c r="Y37" s="41">
        <f>IF(SUM(V37:X37)=0,0,SUM(V37:X37)/'Resid Cust Fcst '!G38)</f>
        <v>0</v>
      </c>
      <c r="Z37" s="109">
        <f t="shared" si="3"/>
        <v>0</v>
      </c>
      <c r="AA37" s="23">
        <f t="shared" si="6"/>
        <v>0</v>
      </c>
      <c r="AB37" s="23">
        <f t="shared" si="7"/>
        <v>0</v>
      </c>
      <c r="AC37" s="41">
        <f>IF(SUM(Z37:AB37)=0,0,SUM(Z37:AB37)/'Resid Cust Fcst '!H38)</f>
        <v>0</v>
      </c>
    </row>
    <row r="38" spans="1:29" ht="13.5" thickBot="1">
      <c r="A38" s="127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77"/>
      <c r="S38" s="173"/>
      <c r="T38" s="173"/>
      <c r="U38" s="182"/>
      <c r="V38" s="109"/>
      <c r="W38" s="23"/>
      <c r="X38" s="23"/>
      <c r="Y38" s="41"/>
      <c r="Z38" s="109"/>
      <c r="AA38" s="23"/>
      <c r="AB38" s="23"/>
      <c r="AC38" s="41"/>
    </row>
    <row r="39" spans="1:29" ht="13.5" thickBot="1">
      <c r="A39" s="178" t="s">
        <v>124</v>
      </c>
      <c r="B39" s="238">
        <f>IF(SUM(B7:B37)=0,0,SUM(B7:B37)/'Resid Cust Fcst '!$B$40)</f>
        <v>1349.6507651389106</v>
      </c>
      <c r="C39" s="239">
        <f>IF(SUM(C7:C37)=0,0,SUM(C7:C37)/'Resid Cust Fcst '!$B$40)</f>
        <v>213.73179817905475</v>
      </c>
      <c r="D39" s="239">
        <f>IF(SUM(D7:D37)=0,0,SUM(D7:D37)/'Resid Cust Fcst '!$B$40)</f>
        <v>246.24333484162895</v>
      </c>
      <c r="E39" s="240">
        <f>SUM(B39:D39)</f>
        <v>1809.6258981595943</v>
      </c>
      <c r="F39" s="238">
        <f>IF(SUM(F7:F37)=0,0,SUM(F7:F37)/'Resid Cust Fcst '!$C$40)</f>
        <v>0</v>
      </c>
      <c r="G39" s="239">
        <f>IF(SUM(G7:G37)=0,0,SUM(G7:G37)/'Resid Cust Fcst '!$C$40)</f>
        <v>0</v>
      </c>
      <c r="H39" s="239">
        <f>IF(SUM(H7:H37)=0,0,SUM(H7:H37)/'Resid Cust Fcst '!$C$40)</f>
        <v>0</v>
      </c>
      <c r="I39" s="240">
        <f>SUM(F39:H39)</f>
        <v>0</v>
      </c>
      <c r="J39" s="238">
        <f>IF(SUM(J7:J37)=0,0,SUM(J7:J37)/'Resid Cust Fcst '!$D$40)</f>
        <v>0</v>
      </c>
      <c r="K39" s="239">
        <f>IF(SUM(K7:K37)=0,0,SUM(K7:K37)/'Resid Cust Fcst '!$D$40)</f>
        <v>0</v>
      </c>
      <c r="L39" s="239">
        <f>IF(SUM(L7:L37)=0,0,SUM(L7:L37)/'Resid Cust Fcst '!$D$40)</f>
        <v>0</v>
      </c>
      <c r="M39" s="240">
        <f>SUM(J39:L39)</f>
        <v>0</v>
      </c>
      <c r="N39" s="238">
        <f>IF(SUM(N7:N37)=0,0,SUM(N7:N37)/'Resid Cust Fcst '!$E$40)</f>
        <v>0</v>
      </c>
      <c r="O39" s="239">
        <f>IF(SUM(O7:O37)=0,0,SUM(O7:O37)/'Resid Cust Fcst '!$E$40)</f>
        <v>0</v>
      </c>
      <c r="P39" s="239">
        <f>IF(SUM(P7:P37)=0,0,SUM(P7:P37)/'Resid Cust Fcst '!$E$40)</f>
        <v>0</v>
      </c>
      <c r="Q39" s="240">
        <f>SUM(N39:P39)</f>
        <v>0</v>
      </c>
      <c r="R39" s="238">
        <f>IF(SUM(R7:R37)=0,0,SUM(R7:R37)/'Resid Cust Fcst '!$F$40)</f>
        <v>1349.6507651389106</v>
      </c>
      <c r="S39" s="239">
        <f>IF(SUM(S7:S37)=0,0,SUM(S7:S37)/'Resid Cust Fcst '!$F$40)</f>
        <v>213.73179817905475</v>
      </c>
      <c r="T39" s="239">
        <f>IF(SUM(T7:T37)=0,0,SUM(T7:T37)/'Resid Cust Fcst '!$F$40)</f>
        <v>246.24333484162895</v>
      </c>
      <c r="U39" s="240">
        <f>SUM(R39:T39)</f>
        <v>1809.6258981595943</v>
      </c>
      <c r="V39" s="238">
        <f>IF(SUM(V7:V37)=0,0,SUM(V7:V37)/'Resid Cust Fcst '!$G$40)</f>
        <v>0</v>
      </c>
      <c r="W39" s="239">
        <f>IF(SUM(W7:W37)=0,0,SUM(W7:W37)/'Resid Cust Fcst '!$G$40)</f>
        <v>0</v>
      </c>
      <c r="X39" s="239">
        <f>IF(SUM(X7:X37)=0,0,SUM(X7:X37)/'Resid Cust Fcst '!$G$40)</f>
        <v>0</v>
      </c>
      <c r="Y39" s="240">
        <f>SUM(V39:X39)</f>
        <v>0</v>
      </c>
      <c r="Z39" s="238">
        <f>IF(SUM(Z7:Z37)=0,0,SUM(Z7:Z37)/'Resid Cust Fcst '!$H$40)</f>
        <v>1349.6507651389106</v>
      </c>
      <c r="AA39" s="239">
        <f>IF(SUM(AA7:AA37)=0,0,SUM(AA7:AA37)/'Resid Cust Fcst '!$H$40)</f>
        <v>213.73179817905475</v>
      </c>
      <c r="AB39" s="239">
        <f>IF(SUM(AB7:AB37)=0,0,SUM(AB7:AB37)/'Resid Cust Fcst '!$H$40)</f>
        <v>246.24333484162895</v>
      </c>
      <c r="AC39" s="240">
        <f>SUM(Z39:AB39)</f>
        <v>1809.6258981595943</v>
      </c>
    </row>
    <row r="40" spans="1:29" ht="13">
      <c r="A40" s="49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 ht="13">
      <c r="A41" s="261" t="s">
        <v>86</v>
      </c>
      <c r="B41" s="18"/>
      <c r="C41" s="18"/>
      <c r="D41" s="18"/>
      <c r="E41" s="23">
        <f>IF(SUM(B7:D37)=0,0,SUM(B7:D37)/'Resid Cust Fcst '!B40)-E39</f>
        <v>0</v>
      </c>
      <c r="F41" s="18"/>
      <c r="G41" s="18"/>
      <c r="H41" s="18"/>
      <c r="I41" s="23">
        <f>IF(SUM(F7:H37)=0,0,SUM(F7:H37)/'Resid Cust Fcst '!C40)-I39</f>
        <v>0</v>
      </c>
      <c r="J41" s="18"/>
      <c r="K41" s="18"/>
      <c r="L41" s="18"/>
      <c r="M41" s="23">
        <f>IF(SUM(J7:L37)=0,0,SUM(J7:L37)/'Resid Cust Fcst '!D40)-M39</f>
        <v>0</v>
      </c>
      <c r="N41" s="18"/>
      <c r="O41" s="18"/>
      <c r="P41" s="18"/>
      <c r="Q41" s="23">
        <f>IF(SUM(N7:P37)=0,0,SUM(N7:P37)/'Resid Cust Fcst '!E40)-Q39</f>
        <v>0</v>
      </c>
      <c r="R41" s="18"/>
      <c r="S41" s="18"/>
      <c r="T41" s="18"/>
      <c r="U41" s="23">
        <f>IF(SUM(R7:T37)=0,0,SUM(R7:T37)/'Resid Cust Fcst '!F40)-U39</f>
        <v>0</v>
      </c>
      <c r="V41" s="18"/>
      <c r="W41" s="18"/>
      <c r="X41" s="18"/>
      <c r="Y41" s="23">
        <f>IF(SUM(V7:X37)=0,0,SUM(V7:X37)/'Resid Cust Fcst '!G40)-Y39</f>
        <v>0</v>
      </c>
      <c r="Z41" s="18"/>
      <c r="AA41" s="18"/>
      <c r="AB41" s="18"/>
      <c r="AC41" s="23">
        <f>IF(SUM(Z7:AB37)=0,0,SUM(Z7:AB37)/'Resid Cust Fcst '!H40)-AC39</f>
        <v>0</v>
      </c>
    </row>
    <row r="42" spans="1:29">
      <c r="N42" s="50"/>
      <c r="O42" s="50"/>
      <c r="P42" s="50"/>
    </row>
    <row r="43" spans="1:29">
      <c r="N43" s="50"/>
      <c r="O43" s="50"/>
      <c r="P43" s="50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00642D"/>
  </sheetPr>
  <dimension ref="A1:HM51"/>
  <sheetViews>
    <sheetView zoomScaleNormal="100" workbookViewId="0">
      <pane xSplit="1" topLeftCell="B1" activePane="topRight" state="frozen"/>
      <selection pane="topRight" activeCell="P2" sqref="P2:V2"/>
    </sheetView>
  </sheetViews>
  <sheetFormatPr defaultRowHeight="12.5"/>
  <cols>
    <col min="1" max="1" width="28.7265625" customWidth="1"/>
    <col min="2" max="5" width="7.54296875" customWidth="1"/>
    <col min="6" max="6" width="9" bestFit="1" customWidth="1"/>
    <col min="7" max="8" width="7.54296875" customWidth="1"/>
    <col min="9" max="12" width="8.7265625" customWidth="1"/>
    <col min="13" max="13" width="9.7265625" bestFit="1" customWidth="1"/>
    <col min="14" max="14" width="8.7265625" customWidth="1"/>
    <col min="15" max="15" width="6.54296875" bestFit="1" customWidth="1"/>
    <col min="16" max="19" width="8.7265625" customWidth="1"/>
    <col min="20" max="20" width="9.7265625" bestFit="1" customWidth="1"/>
    <col min="21" max="33" width="8.7265625" customWidth="1"/>
    <col min="34" max="34" width="10.7265625" bestFit="1" customWidth="1"/>
    <col min="35" max="36" width="8.7265625" customWidth="1"/>
  </cols>
  <sheetData>
    <row r="1" spans="1:221" ht="18.5" thickBot="1">
      <c r="A1" s="735" t="s">
        <v>209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54"/>
      <c r="X1" s="754"/>
      <c r="Y1" s="754"/>
      <c r="Z1" s="754"/>
      <c r="AA1" s="754"/>
      <c r="AB1" s="754"/>
      <c r="AC1" s="754"/>
      <c r="AD1" s="754"/>
      <c r="AE1" s="754"/>
      <c r="AF1" s="754"/>
      <c r="AG1" s="754"/>
      <c r="AH1" s="754"/>
      <c r="AI1" s="754"/>
      <c r="AJ1" s="754"/>
    </row>
    <row r="2" spans="1:221" ht="13.5" thickBot="1">
      <c r="A2" s="103"/>
      <c r="B2" s="737" t="s">
        <v>299</v>
      </c>
      <c r="C2" s="737"/>
      <c r="D2" s="737"/>
      <c r="E2" s="737"/>
      <c r="F2" s="737"/>
      <c r="G2" s="737"/>
      <c r="H2" s="738"/>
      <c r="I2" s="737" t="s">
        <v>70</v>
      </c>
      <c r="J2" s="737"/>
      <c r="K2" s="737"/>
      <c r="L2" s="737"/>
      <c r="M2" s="737"/>
      <c r="N2" s="737"/>
      <c r="O2" s="738"/>
      <c r="P2" s="736" t="s">
        <v>443</v>
      </c>
      <c r="Q2" s="737"/>
      <c r="R2" s="737"/>
      <c r="S2" s="737"/>
      <c r="T2" s="737"/>
      <c r="U2" s="737"/>
      <c r="V2" s="737"/>
      <c r="W2" s="736" t="s">
        <v>168</v>
      </c>
      <c r="X2" s="737"/>
      <c r="Y2" s="737"/>
      <c r="Z2" s="737"/>
      <c r="AA2" s="737"/>
      <c r="AB2" s="737"/>
      <c r="AC2" s="737"/>
      <c r="AD2" s="736" t="s">
        <v>100</v>
      </c>
      <c r="AE2" s="737"/>
      <c r="AF2" s="737"/>
      <c r="AG2" s="737"/>
      <c r="AH2" s="737"/>
      <c r="AI2" s="737"/>
      <c r="AJ2" s="738"/>
    </row>
    <row r="3" spans="1:221" ht="13.5" thickBot="1">
      <c r="A3" s="160"/>
      <c r="B3" s="737" t="s">
        <v>0</v>
      </c>
      <c r="C3" s="737"/>
      <c r="D3" s="737"/>
      <c r="E3" s="737"/>
      <c r="F3" s="737"/>
      <c r="G3" s="199"/>
      <c r="H3" s="215"/>
      <c r="I3" s="736" t="s">
        <v>0</v>
      </c>
      <c r="J3" s="737"/>
      <c r="K3" s="737"/>
      <c r="L3" s="737"/>
      <c r="M3" s="738"/>
      <c r="N3" s="103"/>
      <c r="O3" s="207"/>
      <c r="P3" s="745" t="s">
        <v>0</v>
      </c>
      <c r="Q3" s="739"/>
      <c r="R3" s="739"/>
      <c r="S3" s="739"/>
      <c r="T3" s="740"/>
      <c r="U3" s="103"/>
      <c r="V3" s="103"/>
      <c r="W3" s="739" t="s">
        <v>0</v>
      </c>
      <c r="X3" s="739"/>
      <c r="Y3" s="739"/>
      <c r="Z3" s="739"/>
      <c r="AA3" s="739"/>
      <c r="AB3" s="103"/>
      <c r="AC3" s="304"/>
      <c r="AD3" s="736" t="s">
        <v>0</v>
      </c>
      <c r="AE3" s="737"/>
      <c r="AF3" s="737"/>
      <c r="AG3" s="737"/>
      <c r="AH3" s="737"/>
      <c r="AI3" s="103"/>
      <c r="AJ3" s="201"/>
    </row>
    <row r="4" spans="1:221" ht="13">
      <c r="A4" s="160"/>
      <c r="B4" s="343" t="s">
        <v>32</v>
      </c>
      <c r="C4" s="343" t="s">
        <v>32</v>
      </c>
      <c r="D4" s="343" t="s">
        <v>33</v>
      </c>
      <c r="E4" s="343" t="s">
        <v>34</v>
      </c>
      <c r="F4" s="343"/>
      <c r="G4" s="160"/>
      <c r="H4" s="344"/>
      <c r="I4" s="55" t="s">
        <v>32</v>
      </c>
      <c r="J4" s="200" t="s">
        <v>32</v>
      </c>
      <c r="K4" s="200" t="s">
        <v>33</v>
      </c>
      <c r="L4" s="200" t="s">
        <v>34</v>
      </c>
      <c r="M4" s="201"/>
      <c r="N4" s="160"/>
      <c r="O4" s="201"/>
      <c r="P4" s="229" t="s">
        <v>32</v>
      </c>
      <c r="Q4" s="230" t="s">
        <v>32</v>
      </c>
      <c r="R4" s="230" t="s">
        <v>33</v>
      </c>
      <c r="S4" s="230" t="s">
        <v>34</v>
      </c>
      <c r="T4" s="231"/>
      <c r="U4" s="231"/>
      <c r="V4" s="160"/>
      <c r="W4" s="303" t="s">
        <v>32</v>
      </c>
      <c r="X4" s="303" t="s">
        <v>32</v>
      </c>
      <c r="Y4" s="303" t="s">
        <v>33</v>
      </c>
      <c r="Z4" s="303" t="s">
        <v>34</v>
      </c>
      <c r="AA4" s="303"/>
      <c r="AB4" s="103"/>
      <c r="AC4" s="304"/>
      <c r="AD4" s="229" t="s">
        <v>32</v>
      </c>
      <c r="AE4" s="230" t="s">
        <v>32</v>
      </c>
      <c r="AF4" s="230" t="s">
        <v>33</v>
      </c>
      <c r="AG4" s="230" t="s">
        <v>34</v>
      </c>
      <c r="AH4" s="231"/>
      <c r="AI4" s="160"/>
      <c r="AJ4" s="201"/>
    </row>
    <row r="5" spans="1:221" ht="13.5" thickBot="1">
      <c r="A5" s="160" t="s">
        <v>4</v>
      </c>
      <c r="B5" s="26" t="s">
        <v>99</v>
      </c>
      <c r="C5" s="26" t="s">
        <v>93</v>
      </c>
      <c r="D5" s="26" t="s">
        <v>93</v>
      </c>
      <c r="E5" s="26" t="s">
        <v>93</v>
      </c>
      <c r="F5" s="26" t="s">
        <v>208</v>
      </c>
      <c r="G5" s="259" t="s">
        <v>1</v>
      </c>
      <c r="H5" s="156" t="s">
        <v>2</v>
      </c>
      <c r="I5" s="74" t="s">
        <v>99</v>
      </c>
      <c r="J5" s="26" t="s">
        <v>93</v>
      </c>
      <c r="K5" s="26" t="s">
        <v>93</v>
      </c>
      <c r="L5" s="26" t="s">
        <v>93</v>
      </c>
      <c r="M5" s="108" t="s">
        <v>208</v>
      </c>
      <c r="N5" s="259" t="s">
        <v>1</v>
      </c>
      <c r="O5" s="156" t="s">
        <v>2</v>
      </c>
      <c r="P5" s="74" t="s">
        <v>99</v>
      </c>
      <c r="Q5" s="26" t="s">
        <v>93</v>
      </c>
      <c r="R5" s="26" t="s">
        <v>93</v>
      </c>
      <c r="S5" s="26" t="s">
        <v>93</v>
      </c>
      <c r="T5" s="108" t="s">
        <v>208</v>
      </c>
      <c r="U5" s="156" t="s">
        <v>1</v>
      </c>
      <c r="V5" s="259" t="s">
        <v>2</v>
      </c>
      <c r="W5" s="26" t="s">
        <v>99</v>
      </c>
      <c r="X5" s="26" t="s">
        <v>93</v>
      </c>
      <c r="Y5" s="26" t="s">
        <v>93</v>
      </c>
      <c r="Z5" s="26" t="s">
        <v>93</v>
      </c>
      <c r="AA5" s="108" t="s">
        <v>208</v>
      </c>
      <c r="AB5" s="259" t="s">
        <v>1</v>
      </c>
      <c r="AC5" s="155" t="s">
        <v>2</v>
      </c>
      <c r="AD5" s="74" t="s">
        <v>99</v>
      </c>
      <c r="AE5" s="26" t="s">
        <v>93</v>
      </c>
      <c r="AF5" s="26" t="s">
        <v>93</v>
      </c>
      <c r="AG5" s="26" t="s">
        <v>93</v>
      </c>
      <c r="AH5" s="108" t="s">
        <v>208</v>
      </c>
      <c r="AI5" s="259" t="s">
        <v>1</v>
      </c>
      <c r="AJ5" s="166" t="s">
        <v>2</v>
      </c>
    </row>
    <row r="6" spans="1:221" ht="13">
      <c r="A6" s="105"/>
      <c r="B6" s="6" t="s">
        <v>45</v>
      </c>
      <c r="C6" s="6" t="s">
        <v>45</v>
      </c>
      <c r="D6" s="6" t="s">
        <v>45</v>
      </c>
      <c r="E6" s="6" t="s">
        <v>45</v>
      </c>
      <c r="F6" s="6" t="s">
        <v>45</v>
      </c>
      <c r="G6" s="106" t="s">
        <v>45</v>
      </c>
      <c r="H6" s="105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 t="s">
        <v>45</v>
      </c>
      <c r="N6" s="105" t="s">
        <v>45</v>
      </c>
      <c r="O6" s="7" t="s">
        <v>45</v>
      </c>
      <c r="P6" s="104" t="s">
        <v>45</v>
      </c>
      <c r="Q6" s="8" t="s">
        <v>45</v>
      </c>
      <c r="R6" s="8" t="s">
        <v>45</v>
      </c>
      <c r="S6" s="8" t="s">
        <v>45</v>
      </c>
      <c r="T6" s="9" t="s">
        <v>45</v>
      </c>
      <c r="U6" s="9" t="s">
        <v>45</v>
      </c>
      <c r="V6" s="106" t="s">
        <v>45</v>
      </c>
      <c r="W6" s="8" t="s">
        <v>45</v>
      </c>
      <c r="X6" s="8" t="s">
        <v>45</v>
      </c>
      <c r="Y6" s="8" t="s">
        <v>45</v>
      </c>
      <c r="Z6" s="8" t="s">
        <v>45</v>
      </c>
      <c r="AA6" s="8" t="s">
        <v>45</v>
      </c>
      <c r="AB6" s="106" t="s">
        <v>45</v>
      </c>
      <c r="AC6" s="8" t="s">
        <v>45</v>
      </c>
      <c r="AD6" s="5" t="s">
        <v>45</v>
      </c>
      <c r="AE6" s="6" t="s">
        <v>45</v>
      </c>
      <c r="AF6" s="6" t="s">
        <v>45</v>
      </c>
      <c r="AG6" s="6" t="s">
        <v>45</v>
      </c>
      <c r="AH6" s="7" t="s">
        <v>45</v>
      </c>
      <c r="AI6" s="105" t="s">
        <v>45</v>
      </c>
      <c r="AJ6" s="7" t="s">
        <v>45</v>
      </c>
    </row>
    <row r="7" spans="1:221" ht="13">
      <c r="A7" s="106"/>
      <c r="B7" s="8"/>
      <c r="C7" s="8"/>
      <c r="D7" s="8"/>
      <c r="E7" s="8"/>
      <c r="F7" s="8"/>
      <c r="G7" s="106"/>
      <c r="H7" s="106"/>
      <c r="I7" s="8"/>
      <c r="J7" s="8"/>
      <c r="K7" s="8"/>
      <c r="L7" s="8"/>
      <c r="M7" s="9"/>
      <c r="N7" s="106"/>
      <c r="O7" s="9"/>
      <c r="P7" s="104"/>
      <c r="Q7" s="8"/>
      <c r="R7" s="8"/>
      <c r="S7" s="8"/>
      <c r="T7" s="9"/>
      <c r="U7" s="9"/>
      <c r="V7" s="106"/>
      <c r="W7" s="8"/>
      <c r="X7" s="8"/>
      <c r="Y7" s="8"/>
      <c r="Z7" s="8"/>
      <c r="AA7" s="8"/>
      <c r="AB7" s="106"/>
      <c r="AC7" s="8"/>
      <c r="AD7" s="104"/>
      <c r="AE7" s="8"/>
      <c r="AF7" s="8"/>
      <c r="AG7" s="8"/>
      <c r="AH7" s="9"/>
      <c r="AI7" s="106"/>
      <c r="AJ7" s="9"/>
    </row>
    <row r="8" spans="1:221" ht="13">
      <c r="A8" s="124" t="s">
        <v>5</v>
      </c>
      <c r="B8" s="409">
        <v>60</v>
      </c>
      <c r="C8" s="409">
        <v>3</v>
      </c>
      <c r="D8" s="409">
        <v>23</v>
      </c>
      <c r="E8" s="409">
        <v>6</v>
      </c>
      <c r="F8" s="193">
        <f>SUM(B8:E8)</f>
        <v>92</v>
      </c>
      <c r="G8" s="410"/>
      <c r="H8" s="186">
        <f>F8+G8</f>
        <v>92</v>
      </c>
      <c r="I8" s="409"/>
      <c r="J8" s="409"/>
      <c r="K8" s="409"/>
      <c r="L8" s="409"/>
      <c r="M8" s="191"/>
      <c r="N8" s="186"/>
      <c r="O8" s="191"/>
      <c r="P8" s="408"/>
      <c r="Q8" s="409"/>
      <c r="R8" s="409"/>
      <c r="S8" s="409"/>
      <c r="T8" s="194"/>
      <c r="U8" s="194"/>
      <c r="V8" s="84"/>
      <c r="W8" s="411"/>
      <c r="X8" s="411"/>
      <c r="Y8" s="411"/>
      <c r="Z8" s="411"/>
      <c r="AA8" s="372"/>
      <c r="AB8" s="84"/>
      <c r="AC8" s="81"/>
      <c r="AD8" s="408">
        <f>B8+I8+P8+W8</f>
        <v>60</v>
      </c>
      <c r="AE8" s="409">
        <f t="shared" ref="AE8:AG17" si="0">C8+J8+Q8+X8</f>
        <v>3</v>
      </c>
      <c r="AF8" s="409">
        <f t="shared" si="0"/>
        <v>23</v>
      </c>
      <c r="AG8" s="409">
        <f t="shared" si="0"/>
        <v>6</v>
      </c>
      <c r="AH8" s="191">
        <f>SUM(AD8:AG8)</f>
        <v>92</v>
      </c>
      <c r="AI8" s="410"/>
      <c r="AJ8" s="191">
        <f>AH8+AI8</f>
        <v>92</v>
      </c>
      <c r="AN8" s="297"/>
    </row>
    <row r="9" spans="1:221" ht="13">
      <c r="A9" s="371" t="s">
        <v>193</v>
      </c>
      <c r="B9" s="409">
        <v>27</v>
      </c>
      <c r="C9" s="409">
        <v>0</v>
      </c>
      <c r="D9" s="409">
        <v>30</v>
      </c>
      <c r="E9" s="409">
        <v>5</v>
      </c>
      <c r="F9" s="193">
        <f>SUM(B9:E9)</f>
        <v>62</v>
      </c>
      <c r="G9" s="410"/>
      <c r="H9" s="186">
        <f>F9+G9</f>
        <v>62</v>
      </c>
      <c r="I9" s="409"/>
      <c r="J9" s="409"/>
      <c r="K9" s="409"/>
      <c r="L9" s="409"/>
      <c r="M9" s="191"/>
      <c r="N9" s="186"/>
      <c r="O9" s="191"/>
      <c r="P9" s="408"/>
      <c r="Q9" s="409"/>
      <c r="R9" s="409"/>
      <c r="S9" s="409"/>
      <c r="T9" s="194"/>
      <c r="U9" s="194"/>
      <c r="V9" s="84"/>
      <c r="W9" s="411"/>
      <c r="X9" s="411"/>
      <c r="Y9" s="411"/>
      <c r="Z9" s="411"/>
      <c r="AA9" s="372"/>
      <c r="AB9" s="84"/>
      <c r="AC9" s="81"/>
      <c r="AD9" s="408">
        <f t="shared" ref="AD9:AD15" si="1">B9+I9+P9+W9</f>
        <v>27</v>
      </c>
      <c r="AE9" s="409">
        <f t="shared" si="0"/>
        <v>0</v>
      </c>
      <c r="AF9" s="409">
        <f t="shared" si="0"/>
        <v>30</v>
      </c>
      <c r="AG9" s="409">
        <f t="shared" si="0"/>
        <v>5</v>
      </c>
      <c r="AH9" s="191">
        <f>SUM(AD9:AG9)</f>
        <v>62</v>
      </c>
      <c r="AI9" s="410"/>
      <c r="AJ9" s="191">
        <f>AH9+AI9</f>
        <v>62</v>
      </c>
      <c r="AN9" s="297"/>
    </row>
    <row r="10" spans="1:221" ht="13">
      <c r="A10" s="371" t="s">
        <v>194</v>
      </c>
      <c r="B10" s="409">
        <v>28</v>
      </c>
      <c r="C10" s="409">
        <v>4</v>
      </c>
      <c r="D10" s="409">
        <v>64</v>
      </c>
      <c r="E10" s="409">
        <v>0</v>
      </c>
      <c r="F10" s="193">
        <f t="shared" ref="F10:F17" si="2">SUM(B10:E10)</f>
        <v>96</v>
      </c>
      <c r="G10" s="410"/>
      <c r="H10" s="186">
        <f t="shared" ref="H10:H17" si="3">F10+G10</f>
        <v>96</v>
      </c>
      <c r="I10" s="409"/>
      <c r="J10" s="409"/>
      <c r="K10" s="409"/>
      <c r="L10" s="409"/>
      <c r="M10" s="191"/>
      <c r="N10" s="186"/>
      <c r="O10" s="191"/>
      <c r="P10" s="408"/>
      <c r="Q10" s="409"/>
      <c r="R10" s="409"/>
      <c r="S10" s="409"/>
      <c r="T10" s="194"/>
      <c r="U10" s="194"/>
      <c r="V10" s="84"/>
      <c r="W10" s="411"/>
      <c r="X10" s="411"/>
      <c r="Y10" s="411"/>
      <c r="Z10" s="411"/>
      <c r="AA10" s="372"/>
      <c r="AB10" s="84"/>
      <c r="AC10" s="81"/>
      <c r="AD10" s="408">
        <f t="shared" si="1"/>
        <v>28</v>
      </c>
      <c r="AE10" s="409">
        <f t="shared" si="0"/>
        <v>4</v>
      </c>
      <c r="AF10" s="409">
        <f t="shared" si="0"/>
        <v>64</v>
      </c>
      <c r="AG10" s="409">
        <f t="shared" si="0"/>
        <v>0</v>
      </c>
      <c r="AH10" s="191">
        <f t="shared" ref="AH10:AH17" si="4">SUM(AD10:AG10)</f>
        <v>96</v>
      </c>
      <c r="AI10" s="410"/>
      <c r="AJ10" s="191">
        <f>AH10+AI10</f>
        <v>96</v>
      </c>
      <c r="AK10" s="175"/>
      <c r="AN10" s="297"/>
    </row>
    <row r="11" spans="1:221" ht="13">
      <c r="A11" s="126" t="s">
        <v>7</v>
      </c>
      <c r="B11" s="409">
        <v>56</v>
      </c>
      <c r="C11" s="409">
        <v>4</v>
      </c>
      <c r="D11" s="409">
        <v>90</v>
      </c>
      <c r="E11" s="409">
        <v>6</v>
      </c>
      <c r="F11" s="193">
        <f t="shared" si="2"/>
        <v>156</v>
      </c>
      <c r="G11" s="410"/>
      <c r="H11" s="186">
        <f t="shared" si="3"/>
        <v>156</v>
      </c>
      <c r="I11" s="409"/>
      <c r="J11" s="409"/>
      <c r="K11" s="409"/>
      <c r="L11" s="409"/>
      <c r="M11" s="191"/>
      <c r="N11" s="186"/>
      <c r="O11" s="191"/>
      <c r="P11" s="408"/>
      <c r="Q11" s="409"/>
      <c r="R11" s="409"/>
      <c r="S11" s="409"/>
      <c r="T11" s="194"/>
      <c r="U11" s="194"/>
      <c r="V11" s="84"/>
      <c r="W11" s="411"/>
      <c r="X11" s="411"/>
      <c r="Y11" s="411"/>
      <c r="Z11" s="411"/>
      <c r="AA11" s="372"/>
      <c r="AB11" s="84"/>
      <c r="AC11" s="81"/>
      <c r="AD11" s="408">
        <f t="shared" si="1"/>
        <v>56</v>
      </c>
      <c r="AE11" s="409">
        <f t="shared" si="0"/>
        <v>4</v>
      </c>
      <c r="AF11" s="409">
        <f t="shared" si="0"/>
        <v>90</v>
      </c>
      <c r="AG11" s="409">
        <f t="shared" si="0"/>
        <v>6</v>
      </c>
      <c r="AH11" s="191">
        <f t="shared" si="4"/>
        <v>156</v>
      </c>
      <c r="AI11" s="410"/>
      <c r="AJ11" s="191">
        <f t="shared" ref="AJ11:AJ17" si="5">AH11+AI11</f>
        <v>156</v>
      </c>
      <c r="AN11" s="297"/>
    </row>
    <row r="12" spans="1:221" ht="13">
      <c r="A12" s="126" t="s">
        <v>105</v>
      </c>
      <c r="B12" s="409">
        <v>50</v>
      </c>
      <c r="C12" s="409">
        <v>6</v>
      </c>
      <c r="D12" s="409">
        <v>43</v>
      </c>
      <c r="E12" s="409">
        <v>1</v>
      </c>
      <c r="F12" s="193">
        <f t="shared" si="2"/>
        <v>100</v>
      </c>
      <c r="G12" s="410"/>
      <c r="H12" s="186">
        <f t="shared" si="3"/>
        <v>100</v>
      </c>
      <c r="I12" s="409"/>
      <c r="J12" s="409"/>
      <c r="K12" s="409"/>
      <c r="L12" s="409"/>
      <c r="M12" s="191"/>
      <c r="N12" s="186"/>
      <c r="O12" s="191"/>
      <c r="P12" s="408"/>
      <c r="Q12" s="409"/>
      <c r="R12" s="409"/>
      <c r="S12" s="409"/>
      <c r="T12" s="194"/>
      <c r="U12" s="194"/>
      <c r="V12" s="84"/>
      <c r="W12" s="411"/>
      <c r="X12" s="411"/>
      <c r="Y12" s="411"/>
      <c r="Z12" s="411"/>
      <c r="AA12" s="372"/>
      <c r="AB12" s="84"/>
      <c r="AC12" s="81"/>
      <c r="AD12" s="408">
        <f t="shared" si="1"/>
        <v>50</v>
      </c>
      <c r="AE12" s="409">
        <f t="shared" si="0"/>
        <v>6</v>
      </c>
      <c r="AF12" s="409">
        <f t="shared" si="0"/>
        <v>43</v>
      </c>
      <c r="AG12" s="409">
        <f t="shared" si="0"/>
        <v>1</v>
      </c>
      <c r="AH12" s="191">
        <f t="shared" si="4"/>
        <v>100</v>
      </c>
      <c r="AI12" s="410"/>
      <c r="AJ12" s="191">
        <f t="shared" si="5"/>
        <v>100</v>
      </c>
      <c r="AN12" s="297"/>
    </row>
    <row r="13" spans="1:221" ht="13">
      <c r="A13" s="124" t="s">
        <v>97</v>
      </c>
      <c r="B13" s="409">
        <v>15</v>
      </c>
      <c r="C13" s="409">
        <v>5</v>
      </c>
      <c r="D13" s="409">
        <v>23</v>
      </c>
      <c r="E13" s="409">
        <v>4</v>
      </c>
      <c r="F13" s="193">
        <f t="shared" si="2"/>
        <v>47</v>
      </c>
      <c r="G13" s="410"/>
      <c r="H13" s="186">
        <f t="shared" si="3"/>
        <v>47</v>
      </c>
      <c r="I13" s="409"/>
      <c r="J13" s="409"/>
      <c r="K13" s="409"/>
      <c r="L13" s="409"/>
      <c r="M13" s="191"/>
      <c r="N13" s="186"/>
      <c r="O13" s="191"/>
      <c r="P13" s="408">
        <v>1</v>
      </c>
      <c r="Q13" s="409"/>
      <c r="R13" s="409"/>
      <c r="S13" s="409"/>
      <c r="T13" s="194">
        <f t="shared" ref="T13:T14" si="6">SUM(P13:S13)</f>
        <v>1</v>
      </c>
      <c r="U13" s="194"/>
      <c r="V13" s="84">
        <f t="shared" ref="V13:V14" si="7">T13+U13</f>
        <v>1</v>
      </c>
      <c r="W13" s="411"/>
      <c r="X13" s="411"/>
      <c r="Y13" s="411"/>
      <c r="Z13" s="411"/>
      <c r="AA13" s="372"/>
      <c r="AB13" s="84"/>
      <c r="AC13" s="81"/>
      <c r="AD13" s="408">
        <f t="shared" si="1"/>
        <v>16</v>
      </c>
      <c r="AE13" s="409">
        <f t="shared" si="0"/>
        <v>5</v>
      </c>
      <c r="AF13" s="409">
        <f t="shared" si="0"/>
        <v>23</v>
      </c>
      <c r="AG13" s="409">
        <f t="shared" si="0"/>
        <v>4</v>
      </c>
      <c r="AH13" s="191">
        <f t="shared" si="4"/>
        <v>48</v>
      </c>
      <c r="AI13" s="410"/>
      <c r="AJ13" s="191">
        <f t="shared" si="5"/>
        <v>48</v>
      </c>
      <c r="AL13" s="175"/>
      <c r="AN13" s="297"/>
    </row>
    <row r="14" spans="1:221" s="52" customFormat="1" ht="13">
      <c r="A14" s="124" t="s">
        <v>8</v>
      </c>
      <c r="B14" s="409">
        <v>41</v>
      </c>
      <c r="C14" s="409">
        <v>3</v>
      </c>
      <c r="D14" s="409">
        <v>25</v>
      </c>
      <c r="E14" s="409">
        <v>1</v>
      </c>
      <c r="F14" s="193">
        <f t="shared" si="2"/>
        <v>70</v>
      </c>
      <c r="G14" s="410"/>
      <c r="H14" s="186">
        <f t="shared" si="3"/>
        <v>70</v>
      </c>
      <c r="I14" s="409"/>
      <c r="J14" s="409"/>
      <c r="K14" s="409"/>
      <c r="L14" s="409"/>
      <c r="M14" s="191"/>
      <c r="N14" s="186"/>
      <c r="O14" s="191"/>
      <c r="P14" s="408"/>
      <c r="Q14" s="409"/>
      <c r="R14" s="409">
        <v>1</v>
      </c>
      <c r="S14" s="409"/>
      <c r="T14" s="194">
        <f t="shared" si="6"/>
        <v>1</v>
      </c>
      <c r="U14" s="194"/>
      <c r="V14" s="84">
        <f t="shared" si="7"/>
        <v>1</v>
      </c>
      <c r="W14" s="411"/>
      <c r="X14" s="411"/>
      <c r="Y14" s="411"/>
      <c r="Z14" s="411"/>
      <c r="AA14" s="372"/>
      <c r="AB14" s="84"/>
      <c r="AC14" s="81"/>
      <c r="AD14" s="408">
        <f t="shared" si="1"/>
        <v>41</v>
      </c>
      <c r="AE14" s="409">
        <f t="shared" si="0"/>
        <v>3</v>
      </c>
      <c r="AF14" s="409">
        <f t="shared" si="0"/>
        <v>26</v>
      </c>
      <c r="AG14" s="409">
        <f t="shared" si="0"/>
        <v>1</v>
      </c>
      <c r="AH14" s="191">
        <f t="shared" si="4"/>
        <v>71</v>
      </c>
      <c r="AI14" s="410"/>
      <c r="AJ14" s="191">
        <f t="shared" si="5"/>
        <v>71</v>
      </c>
      <c r="AL14" s="198"/>
      <c r="AN14" s="297"/>
    </row>
    <row r="15" spans="1:221" ht="13">
      <c r="A15" s="124" t="s">
        <v>9</v>
      </c>
      <c r="B15" s="409">
        <v>6</v>
      </c>
      <c r="C15" s="409">
        <v>0</v>
      </c>
      <c r="D15" s="409">
        <v>5</v>
      </c>
      <c r="E15" s="409">
        <v>2</v>
      </c>
      <c r="F15" s="193">
        <f t="shared" si="2"/>
        <v>13</v>
      </c>
      <c r="G15" s="410"/>
      <c r="H15" s="186">
        <f t="shared" si="3"/>
        <v>13</v>
      </c>
      <c r="I15" s="409"/>
      <c r="J15" s="409"/>
      <c r="K15" s="409"/>
      <c r="L15" s="409"/>
      <c r="M15" s="191"/>
      <c r="N15" s="186"/>
      <c r="O15" s="191"/>
      <c r="P15" s="408"/>
      <c r="Q15" s="409"/>
      <c r="R15" s="409"/>
      <c r="S15" s="409"/>
      <c r="T15" s="194"/>
      <c r="U15" s="194"/>
      <c r="V15" s="84"/>
      <c r="W15" s="411"/>
      <c r="X15" s="411"/>
      <c r="Y15" s="411"/>
      <c r="Z15" s="411"/>
      <c r="AA15" s="372"/>
      <c r="AB15" s="192"/>
      <c r="AC15" s="81"/>
      <c r="AD15" s="408">
        <f t="shared" si="1"/>
        <v>6</v>
      </c>
      <c r="AE15" s="409"/>
      <c r="AF15" s="409">
        <f t="shared" si="0"/>
        <v>5</v>
      </c>
      <c r="AG15" s="409">
        <f t="shared" si="0"/>
        <v>2</v>
      </c>
      <c r="AH15" s="191">
        <f t="shared" si="4"/>
        <v>13</v>
      </c>
      <c r="AI15" s="410"/>
      <c r="AJ15" s="191">
        <f t="shared" si="5"/>
        <v>13</v>
      </c>
      <c r="AK15" s="52"/>
      <c r="AL15" s="52"/>
      <c r="AM15" s="52"/>
      <c r="AN15" s="297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</row>
    <row r="16" spans="1:221" ht="13">
      <c r="A16" s="124" t="s">
        <v>10</v>
      </c>
      <c r="B16" s="409"/>
      <c r="C16" s="409"/>
      <c r="D16" s="409"/>
      <c r="E16" s="409"/>
      <c r="F16" s="193">
        <f t="shared" si="2"/>
        <v>0</v>
      </c>
      <c r="G16" s="410"/>
      <c r="H16" s="186">
        <f t="shared" si="3"/>
        <v>0</v>
      </c>
      <c r="I16" s="409"/>
      <c r="J16" s="409"/>
      <c r="K16" s="409"/>
      <c r="L16" s="409"/>
      <c r="M16" s="191"/>
      <c r="N16" s="186"/>
      <c r="O16" s="191"/>
      <c r="P16" s="408"/>
      <c r="Q16" s="409"/>
      <c r="R16" s="409"/>
      <c r="S16" s="409"/>
      <c r="T16" s="194"/>
      <c r="U16" s="194"/>
      <c r="V16" s="192"/>
      <c r="W16" s="411"/>
      <c r="X16" s="411"/>
      <c r="Y16" s="411"/>
      <c r="Z16" s="411"/>
      <c r="AA16" s="372"/>
      <c r="AB16" s="192"/>
      <c r="AC16" s="81"/>
      <c r="AD16" s="408"/>
      <c r="AE16" s="409"/>
      <c r="AF16" s="409">
        <f t="shared" si="0"/>
        <v>0</v>
      </c>
      <c r="AG16" s="409">
        <f t="shared" si="0"/>
        <v>0</v>
      </c>
      <c r="AH16" s="191">
        <f t="shared" si="4"/>
        <v>0</v>
      </c>
      <c r="AI16" s="410"/>
      <c r="AJ16" s="191">
        <f t="shared" si="5"/>
        <v>0</v>
      </c>
      <c r="AK16" s="52"/>
      <c r="AL16" s="52"/>
      <c r="AM16" s="52"/>
      <c r="AN16" s="297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</row>
    <row r="17" spans="1:221" ht="13">
      <c r="A17" s="124" t="s">
        <v>11</v>
      </c>
      <c r="B17" s="409"/>
      <c r="C17" s="409"/>
      <c r="D17" s="409">
        <v>4</v>
      </c>
      <c r="E17" s="409">
        <v>2</v>
      </c>
      <c r="F17" s="193">
        <f t="shared" si="2"/>
        <v>6</v>
      </c>
      <c r="G17" s="410"/>
      <c r="H17" s="186">
        <f t="shared" si="3"/>
        <v>6</v>
      </c>
      <c r="I17" s="409"/>
      <c r="J17" s="409"/>
      <c r="K17" s="409"/>
      <c r="L17" s="409"/>
      <c r="M17" s="191"/>
      <c r="N17" s="186"/>
      <c r="O17" s="191"/>
      <c r="P17" s="408"/>
      <c r="Q17" s="409"/>
      <c r="R17" s="409"/>
      <c r="S17" s="409"/>
      <c r="T17" s="194"/>
      <c r="U17" s="194"/>
      <c r="V17" s="192"/>
      <c r="W17" s="411"/>
      <c r="X17" s="411"/>
      <c r="Y17" s="411"/>
      <c r="Z17" s="411"/>
      <c r="AA17" s="372"/>
      <c r="AB17" s="192"/>
      <c r="AC17" s="81"/>
      <c r="AD17" s="408"/>
      <c r="AE17" s="409"/>
      <c r="AF17" s="409">
        <f t="shared" si="0"/>
        <v>4</v>
      </c>
      <c r="AG17" s="409">
        <f t="shared" si="0"/>
        <v>2</v>
      </c>
      <c r="AH17" s="191">
        <f t="shared" si="4"/>
        <v>6</v>
      </c>
      <c r="AI17" s="410"/>
      <c r="AJ17" s="191">
        <f t="shared" si="5"/>
        <v>6</v>
      </c>
      <c r="AK17" s="52"/>
      <c r="AL17" s="52"/>
      <c r="AM17" s="52"/>
      <c r="AN17" s="297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</row>
    <row r="18" spans="1:221" ht="13">
      <c r="A18" s="124" t="s">
        <v>101</v>
      </c>
      <c r="B18" s="409"/>
      <c r="C18" s="409"/>
      <c r="D18" s="409"/>
      <c r="E18" s="409"/>
      <c r="F18" s="193"/>
      <c r="G18" s="410"/>
      <c r="H18" s="186"/>
      <c r="I18" s="409"/>
      <c r="J18" s="409"/>
      <c r="K18" s="409"/>
      <c r="L18" s="409"/>
      <c r="M18" s="191"/>
      <c r="N18" s="186"/>
      <c r="O18" s="191"/>
      <c r="P18" s="123"/>
      <c r="Q18" s="174"/>
      <c r="R18" s="174"/>
      <c r="S18" s="174"/>
      <c r="T18" s="194"/>
      <c r="U18" s="194"/>
      <c r="V18" s="192"/>
      <c r="W18" s="411"/>
      <c r="X18" s="411"/>
      <c r="Y18" s="411"/>
      <c r="Z18" s="411"/>
      <c r="AA18" s="372"/>
      <c r="AB18" s="192"/>
      <c r="AC18" s="81"/>
      <c r="AD18" s="408"/>
      <c r="AE18" s="409"/>
      <c r="AF18" s="409"/>
      <c r="AG18" s="409"/>
      <c r="AH18" s="191"/>
      <c r="AI18" s="410"/>
      <c r="AJ18" s="191"/>
      <c r="AK18" s="52"/>
      <c r="AL18" s="52"/>
      <c r="AM18" s="52"/>
      <c r="AN18" s="297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  <c r="GY18" s="52"/>
      <c r="GZ18" s="52"/>
      <c r="HA18" s="52"/>
      <c r="HB18" s="52"/>
      <c r="HC18" s="52"/>
      <c r="HD18" s="52"/>
      <c r="HE18" s="52"/>
      <c r="HF18" s="52"/>
      <c r="HG18" s="52"/>
      <c r="HH18" s="52"/>
      <c r="HI18" s="52"/>
      <c r="HJ18" s="52"/>
      <c r="HK18" s="52"/>
      <c r="HL18" s="52"/>
      <c r="HM18" s="52"/>
    </row>
    <row r="19" spans="1:221" ht="13">
      <c r="A19" s="124" t="s">
        <v>102</v>
      </c>
      <c r="B19" s="409"/>
      <c r="C19" s="409"/>
      <c r="D19" s="409"/>
      <c r="E19" s="409"/>
      <c r="F19" s="193"/>
      <c r="G19" s="410"/>
      <c r="H19" s="186"/>
      <c r="I19" s="409"/>
      <c r="J19" s="409"/>
      <c r="K19" s="409"/>
      <c r="L19" s="409"/>
      <c r="M19" s="191"/>
      <c r="N19" s="186"/>
      <c r="O19" s="191"/>
      <c r="P19" s="123"/>
      <c r="Q19" s="174"/>
      <c r="R19" s="174"/>
      <c r="S19" s="174"/>
      <c r="T19" s="194"/>
      <c r="U19" s="194"/>
      <c r="V19" s="192"/>
      <c r="W19" s="411"/>
      <c r="X19" s="411"/>
      <c r="Y19" s="411"/>
      <c r="Z19" s="411"/>
      <c r="AA19" s="372"/>
      <c r="AB19" s="192"/>
      <c r="AC19" s="81"/>
      <c r="AD19" s="408"/>
      <c r="AE19" s="409"/>
      <c r="AF19" s="409"/>
      <c r="AG19" s="409"/>
      <c r="AH19" s="191"/>
      <c r="AI19" s="410"/>
      <c r="AJ19" s="191"/>
      <c r="AK19" s="52"/>
      <c r="AL19" s="52"/>
      <c r="AM19" s="52"/>
      <c r="AN19" s="297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</row>
    <row r="20" spans="1:221" ht="13">
      <c r="A20" s="124" t="s">
        <v>12</v>
      </c>
      <c r="B20" s="409"/>
      <c r="C20" s="409"/>
      <c r="D20" s="409"/>
      <c r="E20" s="409"/>
      <c r="F20" s="193"/>
      <c r="G20" s="410"/>
      <c r="H20" s="186"/>
      <c r="I20" s="409"/>
      <c r="J20" s="409"/>
      <c r="K20" s="409"/>
      <c r="L20" s="409"/>
      <c r="M20" s="191"/>
      <c r="N20" s="186"/>
      <c r="O20" s="191"/>
      <c r="P20" s="123"/>
      <c r="Q20" s="174"/>
      <c r="R20" s="174"/>
      <c r="S20" s="174"/>
      <c r="T20" s="194"/>
      <c r="U20" s="194"/>
      <c r="V20" s="192"/>
      <c r="W20" s="411"/>
      <c r="X20" s="411"/>
      <c r="Y20" s="411"/>
      <c r="Z20" s="411"/>
      <c r="AA20" s="372"/>
      <c r="AB20" s="192"/>
      <c r="AC20" s="81"/>
      <c r="AD20" s="408"/>
      <c r="AE20" s="409"/>
      <c r="AF20" s="409"/>
      <c r="AG20" s="409"/>
      <c r="AH20" s="191"/>
      <c r="AI20" s="410"/>
      <c r="AJ20" s="191"/>
      <c r="AK20" s="52"/>
      <c r="AL20" s="52"/>
      <c r="AM20" s="52"/>
      <c r="AN20" s="297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</row>
    <row r="21" spans="1:221" ht="13">
      <c r="A21" s="124" t="s">
        <v>13</v>
      </c>
      <c r="B21" s="409"/>
      <c r="C21" s="409"/>
      <c r="D21" s="409"/>
      <c r="E21" s="409"/>
      <c r="F21" s="193"/>
      <c r="G21" s="410"/>
      <c r="H21" s="186"/>
      <c r="I21" s="409"/>
      <c r="J21" s="409"/>
      <c r="K21" s="409"/>
      <c r="L21" s="409"/>
      <c r="M21" s="191"/>
      <c r="N21" s="186"/>
      <c r="O21" s="191"/>
      <c r="P21" s="123"/>
      <c r="Q21" s="174"/>
      <c r="R21" s="174"/>
      <c r="S21" s="174"/>
      <c r="T21" s="194"/>
      <c r="U21" s="194"/>
      <c r="V21" s="192"/>
      <c r="W21" s="411"/>
      <c r="X21" s="411"/>
      <c r="Y21" s="411"/>
      <c r="Z21" s="411"/>
      <c r="AA21" s="372"/>
      <c r="AB21" s="192"/>
      <c r="AC21" s="81"/>
      <c r="AD21" s="408"/>
      <c r="AE21" s="409"/>
      <c r="AF21" s="409"/>
      <c r="AG21" s="409"/>
      <c r="AH21" s="191"/>
      <c r="AI21" s="410"/>
      <c r="AJ21" s="191"/>
      <c r="AK21" s="52"/>
      <c r="AL21" s="52"/>
      <c r="AM21" s="52"/>
      <c r="AN21" s="297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  <c r="GY21" s="52"/>
      <c r="GZ21" s="52"/>
      <c r="HA21" s="52"/>
      <c r="HB21" s="52"/>
      <c r="HC21" s="52"/>
      <c r="HD21" s="52"/>
      <c r="HE21" s="52"/>
      <c r="HF21" s="52"/>
      <c r="HG21" s="52"/>
      <c r="HH21" s="52"/>
      <c r="HI21" s="52"/>
      <c r="HJ21" s="52"/>
      <c r="HK21" s="52"/>
      <c r="HL21" s="52"/>
      <c r="HM21" s="52"/>
    </row>
    <row r="22" spans="1:221" ht="13">
      <c r="A22" s="124" t="s">
        <v>103</v>
      </c>
      <c r="B22" s="409"/>
      <c r="C22" s="409"/>
      <c r="D22" s="409"/>
      <c r="E22" s="409"/>
      <c r="F22" s="193"/>
      <c r="G22" s="410"/>
      <c r="H22" s="186"/>
      <c r="I22" s="193"/>
      <c r="J22" s="193"/>
      <c r="K22" s="193"/>
      <c r="L22" s="193"/>
      <c r="M22" s="191"/>
      <c r="N22" s="186"/>
      <c r="O22" s="191"/>
      <c r="P22" s="123"/>
      <c r="Q22" s="174"/>
      <c r="R22" s="174"/>
      <c r="S22" s="174"/>
      <c r="T22" s="194"/>
      <c r="U22" s="194"/>
      <c r="V22" s="192"/>
      <c r="W22" s="411"/>
      <c r="X22" s="411"/>
      <c r="Y22" s="411"/>
      <c r="Z22" s="411"/>
      <c r="AA22" s="372"/>
      <c r="AB22" s="192"/>
      <c r="AC22" s="81"/>
      <c r="AD22" s="408"/>
      <c r="AE22" s="409"/>
      <c r="AF22" s="409"/>
      <c r="AG22" s="409"/>
      <c r="AH22" s="191"/>
      <c r="AI22" s="410"/>
      <c r="AJ22" s="191"/>
      <c r="AK22" s="52"/>
      <c r="AL22" s="52"/>
      <c r="AM22" s="52"/>
      <c r="AN22" s="297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</row>
    <row r="23" spans="1:221" ht="13">
      <c r="A23" s="124" t="s">
        <v>104</v>
      </c>
      <c r="B23" s="409"/>
      <c r="C23" s="409"/>
      <c r="D23" s="409"/>
      <c r="E23" s="409"/>
      <c r="F23" s="193"/>
      <c r="G23" s="410"/>
      <c r="H23" s="186"/>
      <c r="I23" s="193"/>
      <c r="J23" s="193"/>
      <c r="K23" s="193"/>
      <c r="L23" s="193"/>
      <c r="M23" s="191"/>
      <c r="N23" s="186"/>
      <c r="O23" s="191"/>
      <c r="P23" s="123"/>
      <c r="Q23" s="174"/>
      <c r="R23" s="174"/>
      <c r="S23" s="174"/>
      <c r="T23" s="194"/>
      <c r="U23" s="194"/>
      <c r="V23" s="192"/>
      <c r="W23" s="411"/>
      <c r="X23" s="411"/>
      <c r="Y23" s="411"/>
      <c r="Z23" s="411"/>
      <c r="AA23" s="372"/>
      <c r="AB23" s="192"/>
      <c r="AC23" s="81"/>
      <c r="AD23" s="408"/>
      <c r="AE23" s="409"/>
      <c r="AF23" s="409"/>
      <c r="AG23" s="409"/>
      <c r="AH23" s="191"/>
      <c r="AI23" s="410"/>
      <c r="AJ23" s="191"/>
      <c r="AK23" s="52"/>
      <c r="AL23" s="52"/>
      <c r="AM23" s="52"/>
      <c r="AN23" s="297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2"/>
      <c r="FV23" s="52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  <c r="GY23" s="52"/>
      <c r="GZ23" s="52"/>
      <c r="HA23" s="52"/>
      <c r="HB23" s="52"/>
      <c r="HC23" s="52"/>
      <c r="HD23" s="52"/>
      <c r="HE23" s="52"/>
      <c r="HF23" s="52"/>
      <c r="HG23" s="52"/>
      <c r="HH23" s="52"/>
      <c r="HI23" s="52"/>
      <c r="HJ23" s="52"/>
      <c r="HK23" s="52"/>
      <c r="HL23" s="52"/>
      <c r="HM23" s="52"/>
    </row>
    <row r="24" spans="1:221" s="52" customFormat="1" ht="13">
      <c r="A24" s="124" t="s">
        <v>14</v>
      </c>
      <c r="B24" s="409"/>
      <c r="C24" s="409"/>
      <c r="D24" s="409"/>
      <c r="E24" s="409"/>
      <c r="F24" s="193"/>
      <c r="G24" s="410"/>
      <c r="H24" s="186"/>
      <c r="I24" s="193"/>
      <c r="J24" s="193"/>
      <c r="K24" s="193"/>
      <c r="L24" s="193"/>
      <c r="M24" s="191"/>
      <c r="N24" s="186"/>
      <c r="O24" s="191"/>
      <c r="P24" s="123"/>
      <c r="Q24" s="174"/>
      <c r="R24" s="174"/>
      <c r="S24" s="174"/>
      <c r="T24" s="194"/>
      <c r="U24" s="194"/>
      <c r="V24" s="192"/>
      <c r="W24" s="411"/>
      <c r="X24" s="411"/>
      <c r="Y24" s="411"/>
      <c r="Z24" s="411"/>
      <c r="AA24" s="372"/>
      <c r="AB24" s="192"/>
      <c r="AC24" s="81"/>
      <c r="AD24" s="408"/>
      <c r="AE24" s="409"/>
      <c r="AF24" s="409"/>
      <c r="AG24" s="409"/>
      <c r="AH24" s="191"/>
      <c r="AI24" s="410"/>
      <c r="AJ24" s="191"/>
      <c r="AN24" s="297"/>
    </row>
    <row r="25" spans="1:221" s="52" customFormat="1" ht="13">
      <c r="A25" s="124" t="s">
        <v>15</v>
      </c>
      <c r="B25" s="409"/>
      <c r="C25" s="409"/>
      <c r="D25" s="409"/>
      <c r="E25" s="409"/>
      <c r="F25" s="193"/>
      <c r="G25" s="410"/>
      <c r="H25" s="186"/>
      <c r="I25" s="193"/>
      <c r="J25" s="193"/>
      <c r="K25" s="193"/>
      <c r="L25" s="193"/>
      <c r="M25" s="191"/>
      <c r="N25" s="186"/>
      <c r="O25" s="191"/>
      <c r="P25" s="123"/>
      <c r="Q25" s="174"/>
      <c r="R25" s="174"/>
      <c r="S25" s="174"/>
      <c r="T25" s="194"/>
      <c r="U25" s="194"/>
      <c r="V25" s="192"/>
      <c r="W25" s="411"/>
      <c r="X25" s="411"/>
      <c r="Y25" s="411"/>
      <c r="Z25" s="411"/>
      <c r="AA25" s="372"/>
      <c r="AB25" s="192"/>
      <c r="AC25" s="81"/>
      <c r="AD25" s="408"/>
      <c r="AE25" s="409"/>
      <c r="AF25" s="409"/>
      <c r="AG25" s="409"/>
      <c r="AH25" s="191"/>
      <c r="AI25" s="410"/>
      <c r="AJ25" s="191"/>
      <c r="AN25" s="297"/>
    </row>
    <row r="26" spans="1:221" ht="13">
      <c r="A26" s="124" t="s">
        <v>16</v>
      </c>
      <c r="B26" s="409"/>
      <c r="C26" s="409"/>
      <c r="D26" s="409"/>
      <c r="E26" s="409"/>
      <c r="F26" s="193"/>
      <c r="G26" s="410"/>
      <c r="H26" s="186"/>
      <c r="I26" s="193"/>
      <c r="J26" s="193"/>
      <c r="K26" s="193"/>
      <c r="L26" s="193"/>
      <c r="M26" s="191"/>
      <c r="N26" s="186"/>
      <c r="O26" s="191"/>
      <c r="P26" s="123"/>
      <c r="Q26" s="174"/>
      <c r="R26" s="174"/>
      <c r="S26" s="174"/>
      <c r="T26" s="194"/>
      <c r="U26" s="194"/>
      <c r="V26" s="192"/>
      <c r="W26" s="411"/>
      <c r="X26" s="411"/>
      <c r="Y26" s="411"/>
      <c r="Z26" s="411"/>
      <c r="AA26" s="372"/>
      <c r="AB26" s="192"/>
      <c r="AC26" s="81"/>
      <c r="AD26" s="408"/>
      <c r="AE26" s="409"/>
      <c r="AF26" s="409"/>
      <c r="AG26" s="409"/>
      <c r="AH26" s="191"/>
      <c r="AI26" s="410"/>
      <c r="AJ26" s="191"/>
      <c r="AN26" s="297"/>
    </row>
    <row r="27" spans="1:221" ht="13">
      <c r="A27" s="124" t="s">
        <v>17</v>
      </c>
      <c r="B27" s="409"/>
      <c r="C27" s="409"/>
      <c r="D27" s="409"/>
      <c r="E27" s="409"/>
      <c r="F27" s="193"/>
      <c r="G27" s="410"/>
      <c r="H27" s="186"/>
      <c r="I27" s="193"/>
      <c r="J27" s="193"/>
      <c r="K27" s="193"/>
      <c r="L27" s="193"/>
      <c r="M27" s="191"/>
      <c r="N27" s="186"/>
      <c r="O27" s="191"/>
      <c r="P27" s="123"/>
      <c r="Q27" s="174"/>
      <c r="R27" s="174"/>
      <c r="S27" s="174"/>
      <c r="T27" s="194"/>
      <c r="U27" s="194"/>
      <c r="V27" s="192"/>
      <c r="W27" s="411"/>
      <c r="X27" s="411"/>
      <c r="Y27" s="411"/>
      <c r="Z27" s="411"/>
      <c r="AA27" s="372"/>
      <c r="AB27" s="192"/>
      <c r="AC27" s="81"/>
      <c r="AD27" s="408"/>
      <c r="AE27" s="409"/>
      <c r="AF27" s="409"/>
      <c r="AG27" s="409"/>
      <c r="AH27" s="191"/>
      <c r="AI27" s="410"/>
      <c r="AJ27" s="191"/>
      <c r="AN27" s="297"/>
    </row>
    <row r="28" spans="1:221" ht="13">
      <c r="A28" s="124" t="s">
        <v>18</v>
      </c>
      <c r="B28" s="409"/>
      <c r="C28" s="409"/>
      <c r="D28" s="409"/>
      <c r="E28" s="409"/>
      <c r="F28" s="193"/>
      <c r="G28" s="410"/>
      <c r="H28" s="186"/>
      <c r="I28" s="193"/>
      <c r="J28" s="193"/>
      <c r="K28" s="193"/>
      <c r="L28" s="193"/>
      <c r="M28" s="191"/>
      <c r="N28" s="186"/>
      <c r="O28" s="191"/>
      <c r="P28" s="123"/>
      <c r="Q28" s="174"/>
      <c r="R28" s="174"/>
      <c r="S28" s="174"/>
      <c r="T28" s="194"/>
      <c r="U28" s="194"/>
      <c r="V28" s="192"/>
      <c r="W28" s="411"/>
      <c r="X28" s="411"/>
      <c r="Y28" s="411"/>
      <c r="Z28" s="411"/>
      <c r="AA28" s="372"/>
      <c r="AB28" s="192"/>
      <c r="AC28" s="81"/>
      <c r="AD28" s="408"/>
      <c r="AE28" s="409"/>
      <c r="AF28" s="409"/>
      <c r="AG28" s="409"/>
      <c r="AH28" s="191"/>
      <c r="AI28" s="410"/>
      <c r="AJ28" s="191"/>
      <c r="AN28" s="297"/>
    </row>
    <row r="29" spans="1:221" ht="13">
      <c r="A29" s="124" t="s">
        <v>19</v>
      </c>
      <c r="B29" s="409"/>
      <c r="C29" s="409"/>
      <c r="D29" s="409"/>
      <c r="E29" s="409"/>
      <c r="F29" s="193"/>
      <c r="G29" s="410"/>
      <c r="H29" s="186"/>
      <c r="I29" s="193"/>
      <c r="J29" s="193"/>
      <c r="K29" s="193"/>
      <c r="L29" s="193"/>
      <c r="M29" s="191"/>
      <c r="N29" s="186"/>
      <c r="O29" s="191"/>
      <c r="P29" s="123"/>
      <c r="Q29" s="174"/>
      <c r="R29" s="174"/>
      <c r="S29" s="174"/>
      <c r="T29" s="194"/>
      <c r="U29" s="194"/>
      <c r="V29" s="192"/>
      <c r="W29" s="174"/>
      <c r="X29" s="174"/>
      <c r="Y29" s="174"/>
      <c r="Z29" s="174"/>
      <c r="AA29" s="174"/>
      <c r="AB29" s="192"/>
      <c r="AC29" s="174"/>
      <c r="AD29" s="408"/>
      <c r="AE29" s="409"/>
      <c r="AF29" s="409"/>
      <c r="AG29" s="409"/>
      <c r="AH29" s="191"/>
      <c r="AI29" s="410"/>
      <c r="AJ29" s="191"/>
      <c r="AN29" s="297"/>
    </row>
    <row r="30" spans="1:221" ht="13">
      <c r="A30" s="124" t="s">
        <v>20</v>
      </c>
      <c r="B30" s="409"/>
      <c r="C30" s="409"/>
      <c r="D30" s="409"/>
      <c r="E30" s="409"/>
      <c r="F30" s="193"/>
      <c r="G30" s="410"/>
      <c r="H30" s="186"/>
      <c r="I30" s="409"/>
      <c r="J30" s="193"/>
      <c r="K30" s="193"/>
      <c r="L30" s="193"/>
      <c r="M30" s="191"/>
      <c r="N30" s="186"/>
      <c r="O30" s="191"/>
      <c r="P30" s="123"/>
      <c r="Q30" s="174"/>
      <c r="R30" s="174"/>
      <c r="S30" s="174"/>
      <c r="T30" s="194"/>
      <c r="U30" s="194"/>
      <c r="V30" s="192"/>
      <c r="W30" s="174"/>
      <c r="X30" s="174"/>
      <c r="Y30" s="174"/>
      <c r="Z30" s="174"/>
      <c r="AA30" s="174"/>
      <c r="AB30" s="192"/>
      <c r="AC30" s="174"/>
      <c r="AD30" s="408"/>
      <c r="AE30" s="409"/>
      <c r="AF30" s="409"/>
      <c r="AG30" s="409"/>
      <c r="AH30" s="191"/>
      <c r="AI30" s="410"/>
      <c r="AJ30" s="191"/>
      <c r="AN30" s="297"/>
    </row>
    <row r="31" spans="1:221" ht="13">
      <c r="A31" s="124" t="s">
        <v>21</v>
      </c>
      <c r="B31" s="409"/>
      <c r="C31" s="409"/>
      <c r="D31" s="409"/>
      <c r="E31" s="409"/>
      <c r="F31" s="193"/>
      <c r="G31" s="410"/>
      <c r="H31" s="186"/>
      <c r="I31" s="193"/>
      <c r="J31" s="193"/>
      <c r="K31" s="193"/>
      <c r="L31" s="193"/>
      <c r="M31" s="191"/>
      <c r="N31" s="186"/>
      <c r="O31" s="191"/>
      <c r="P31" s="123"/>
      <c r="Q31" s="174"/>
      <c r="R31" s="174"/>
      <c r="S31" s="174"/>
      <c r="T31" s="194"/>
      <c r="U31" s="194"/>
      <c r="V31" s="192"/>
      <c r="W31" s="174"/>
      <c r="X31" s="174"/>
      <c r="Y31" s="174"/>
      <c r="Z31" s="174"/>
      <c r="AA31" s="174"/>
      <c r="AB31" s="192"/>
      <c r="AC31" s="174"/>
      <c r="AD31" s="408"/>
      <c r="AE31" s="409"/>
      <c r="AF31" s="409"/>
      <c r="AG31" s="409"/>
      <c r="AH31" s="191"/>
      <c r="AI31" s="410"/>
      <c r="AJ31" s="191"/>
      <c r="AN31" s="297"/>
    </row>
    <row r="32" spans="1:221" ht="13">
      <c r="A32" s="124" t="s">
        <v>22</v>
      </c>
      <c r="B32" s="409"/>
      <c r="C32" s="409"/>
      <c r="D32" s="409"/>
      <c r="E32" s="409"/>
      <c r="F32" s="193"/>
      <c r="G32" s="410"/>
      <c r="H32" s="186"/>
      <c r="I32" s="193"/>
      <c r="J32" s="193"/>
      <c r="K32" s="193"/>
      <c r="L32" s="193"/>
      <c r="M32" s="191"/>
      <c r="N32" s="186"/>
      <c r="O32" s="191"/>
      <c r="P32" s="123"/>
      <c r="Q32" s="174"/>
      <c r="R32" s="174"/>
      <c r="S32" s="174"/>
      <c r="T32" s="194"/>
      <c r="U32" s="194"/>
      <c r="V32" s="192"/>
      <c r="W32" s="174"/>
      <c r="X32" s="174"/>
      <c r="Y32" s="174"/>
      <c r="Z32" s="174"/>
      <c r="AA32" s="174"/>
      <c r="AB32" s="192"/>
      <c r="AC32" s="174"/>
      <c r="AD32" s="408"/>
      <c r="AE32" s="409"/>
      <c r="AF32" s="409"/>
      <c r="AG32" s="409"/>
      <c r="AH32" s="191"/>
      <c r="AI32" s="410"/>
      <c r="AJ32" s="191"/>
      <c r="AN32" s="297"/>
    </row>
    <row r="33" spans="1:40" ht="13">
      <c r="A33" s="124" t="s">
        <v>23</v>
      </c>
      <c r="B33" s="409"/>
      <c r="C33" s="409"/>
      <c r="D33" s="409"/>
      <c r="E33" s="409"/>
      <c r="F33" s="193"/>
      <c r="G33" s="410"/>
      <c r="H33" s="186"/>
      <c r="I33" s="193"/>
      <c r="J33" s="193"/>
      <c r="K33" s="193"/>
      <c r="L33" s="193"/>
      <c r="M33" s="191"/>
      <c r="N33" s="186"/>
      <c r="O33" s="191"/>
      <c r="P33" s="123"/>
      <c r="Q33" s="174"/>
      <c r="R33" s="174"/>
      <c r="S33" s="174"/>
      <c r="T33" s="194"/>
      <c r="U33" s="194"/>
      <c r="V33" s="192"/>
      <c r="W33" s="174"/>
      <c r="X33" s="174"/>
      <c r="Y33" s="174"/>
      <c r="Z33" s="174"/>
      <c r="AA33" s="174"/>
      <c r="AB33" s="192"/>
      <c r="AC33" s="174"/>
      <c r="AD33" s="408"/>
      <c r="AE33" s="409"/>
      <c r="AF33" s="409"/>
      <c r="AG33" s="409"/>
      <c r="AH33" s="191"/>
      <c r="AI33" s="410"/>
      <c r="AJ33" s="191"/>
      <c r="AN33" s="297"/>
    </row>
    <row r="34" spans="1:40" ht="13">
      <c r="A34" s="124" t="s">
        <v>24</v>
      </c>
      <c r="B34" s="409"/>
      <c r="C34" s="409"/>
      <c r="D34" s="409"/>
      <c r="E34" s="409"/>
      <c r="F34" s="193"/>
      <c r="G34" s="410"/>
      <c r="H34" s="186"/>
      <c r="I34" s="193"/>
      <c r="J34" s="193"/>
      <c r="K34" s="193"/>
      <c r="L34" s="193"/>
      <c r="M34" s="191"/>
      <c r="N34" s="186"/>
      <c r="O34" s="191"/>
      <c r="P34" s="123"/>
      <c r="Q34" s="174"/>
      <c r="R34" s="174"/>
      <c r="S34" s="174"/>
      <c r="T34" s="194"/>
      <c r="U34" s="194"/>
      <c r="V34" s="192"/>
      <c r="W34" s="174"/>
      <c r="X34" s="174"/>
      <c r="Y34" s="174"/>
      <c r="Z34" s="174"/>
      <c r="AA34" s="174"/>
      <c r="AB34" s="192"/>
      <c r="AC34" s="174"/>
      <c r="AD34" s="408"/>
      <c r="AE34" s="409"/>
      <c r="AF34" s="409"/>
      <c r="AG34" s="409"/>
      <c r="AH34" s="191"/>
      <c r="AI34" s="410"/>
      <c r="AJ34" s="191"/>
      <c r="AN34" s="297"/>
    </row>
    <row r="35" spans="1:40" ht="13">
      <c r="A35" s="124" t="s">
        <v>25</v>
      </c>
      <c r="B35" s="409"/>
      <c r="C35" s="409"/>
      <c r="D35" s="409"/>
      <c r="E35" s="409"/>
      <c r="F35" s="193"/>
      <c r="G35" s="410"/>
      <c r="H35" s="186"/>
      <c r="I35" s="193"/>
      <c r="J35" s="193"/>
      <c r="K35" s="193"/>
      <c r="L35" s="193"/>
      <c r="M35" s="191"/>
      <c r="N35" s="186"/>
      <c r="O35" s="191"/>
      <c r="P35" s="123"/>
      <c r="Q35" s="174"/>
      <c r="R35" s="174"/>
      <c r="S35" s="174"/>
      <c r="T35" s="194"/>
      <c r="U35" s="194"/>
      <c r="V35" s="192"/>
      <c r="W35" s="174"/>
      <c r="X35" s="174"/>
      <c r="Y35" s="174"/>
      <c r="Z35" s="174"/>
      <c r="AA35" s="174"/>
      <c r="AB35" s="192"/>
      <c r="AC35" s="174"/>
      <c r="AD35" s="408"/>
      <c r="AE35" s="409"/>
      <c r="AF35" s="409"/>
      <c r="AG35" s="409"/>
      <c r="AH35" s="191"/>
      <c r="AI35" s="410"/>
      <c r="AJ35" s="191"/>
      <c r="AN35" s="297"/>
    </row>
    <row r="36" spans="1:40" ht="13">
      <c r="A36" s="124" t="s">
        <v>106</v>
      </c>
      <c r="B36" s="409"/>
      <c r="C36" s="409"/>
      <c r="D36" s="409"/>
      <c r="E36" s="409"/>
      <c r="F36" s="193"/>
      <c r="G36" s="410"/>
      <c r="H36" s="186"/>
      <c r="I36" s="193"/>
      <c r="J36" s="193"/>
      <c r="K36" s="193"/>
      <c r="L36" s="193"/>
      <c r="M36" s="191"/>
      <c r="N36" s="186"/>
      <c r="O36" s="191"/>
      <c r="P36" s="123"/>
      <c r="Q36" s="174"/>
      <c r="R36" s="174"/>
      <c r="S36" s="174"/>
      <c r="T36" s="194"/>
      <c r="U36" s="194"/>
      <c r="V36" s="192"/>
      <c r="W36" s="174"/>
      <c r="X36" s="174"/>
      <c r="Y36" s="174"/>
      <c r="Z36" s="174"/>
      <c r="AA36" s="174"/>
      <c r="AB36" s="192"/>
      <c r="AC36" s="174"/>
      <c r="AD36" s="408"/>
      <c r="AE36" s="409"/>
      <c r="AF36" s="409"/>
      <c r="AG36" s="409"/>
      <c r="AH36" s="191"/>
      <c r="AI36" s="410"/>
      <c r="AJ36" s="191"/>
      <c r="AN36" s="297"/>
    </row>
    <row r="37" spans="1:40" ht="13">
      <c r="A37" s="124" t="s">
        <v>107</v>
      </c>
      <c r="B37" s="193"/>
      <c r="C37" s="193"/>
      <c r="D37" s="193"/>
      <c r="E37" s="193"/>
      <c r="F37" s="193"/>
      <c r="G37" s="186"/>
      <c r="H37" s="186"/>
      <c r="I37" s="193"/>
      <c r="J37" s="193"/>
      <c r="K37" s="193"/>
      <c r="L37" s="193"/>
      <c r="M37" s="191"/>
      <c r="N37" s="186"/>
      <c r="O37" s="191"/>
      <c r="P37" s="123"/>
      <c r="Q37" s="174"/>
      <c r="R37" s="174"/>
      <c r="S37" s="174"/>
      <c r="T37" s="194"/>
      <c r="U37" s="194"/>
      <c r="V37" s="192"/>
      <c r="W37" s="174"/>
      <c r="X37" s="174"/>
      <c r="Y37" s="174"/>
      <c r="Z37" s="174"/>
      <c r="AA37" s="174"/>
      <c r="AB37" s="192"/>
      <c r="AC37" s="174"/>
      <c r="AD37" s="408"/>
      <c r="AE37" s="409"/>
      <c r="AF37" s="409"/>
      <c r="AG37" s="409"/>
      <c r="AH37" s="191"/>
      <c r="AI37" s="410"/>
      <c r="AJ37" s="191"/>
      <c r="AN37" s="297"/>
    </row>
    <row r="38" spans="1:40" ht="13">
      <c r="A38" s="124" t="s">
        <v>26</v>
      </c>
      <c r="B38" s="193"/>
      <c r="C38" s="193"/>
      <c r="D38" s="193"/>
      <c r="E38" s="193"/>
      <c r="F38" s="193"/>
      <c r="G38" s="186"/>
      <c r="H38" s="186"/>
      <c r="I38" s="193"/>
      <c r="J38" s="193"/>
      <c r="K38" s="193"/>
      <c r="L38" s="193"/>
      <c r="M38" s="191"/>
      <c r="N38" s="186"/>
      <c r="O38" s="191"/>
      <c r="P38" s="123"/>
      <c r="Q38" s="174"/>
      <c r="R38" s="174"/>
      <c r="S38" s="174"/>
      <c r="T38" s="194"/>
      <c r="U38" s="194"/>
      <c r="V38" s="192"/>
      <c r="W38" s="174"/>
      <c r="X38" s="174"/>
      <c r="Y38" s="174"/>
      <c r="Z38" s="174"/>
      <c r="AA38" s="174"/>
      <c r="AB38" s="192"/>
      <c r="AC38" s="174"/>
      <c r="AD38" s="408"/>
      <c r="AE38" s="409"/>
      <c r="AF38" s="409"/>
      <c r="AG38" s="409"/>
      <c r="AH38" s="191"/>
      <c r="AI38" s="410"/>
      <c r="AJ38" s="191"/>
      <c r="AN38" s="297"/>
    </row>
    <row r="39" spans="1:40" ht="13">
      <c r="A39" s="124" t="s">
        <v>27</v>
      </c>
      <c r="B39" s="193"/>
      <c r="C39" s="193"/>
      <c r="D39" s="193"/>
      <c r="E39" s="193"/>
      <c r="F39" s="193"/>
      <c r="G39" s="186"/>
      <c r="H39" s="186"/>
      <c r="I39" s="193"/>
      <c r="J39" s="193"/>
      <c r="K39" s="193"/>
      <c r="L39" s="193"/>
      <c r="M39" s="191"/>
      <c r="N39" s="186"/>
      <c r="O39" s="191"/>
      <c r="P39" s="123"/>
      <c r="Q39" s="174"/>
      <c r="R39" s="174"/>
      <c r="S39" s="174"/>
      <c r="T39" s="194"/>
      <c r="U39" s="194"/>
      <c r="V39" s="192"/>
      <c r="W39" s="174"/>
      <c r="X39" s="174"/>
      <c r="Y39" s="174"/>
      <c r="Z39" s="174"/>
      <c r="AA39" s="174"/>
      <c r="AB39" s="192"/>
      <c r="AC39" s="174"/>
      <c r="AD39" s="408"/>
      <c r="AE39" s="409"/>
      <c r="AF39" s="409"/>
      <c r="AG39" s="409"/>
      <c r="AH39" s="191"/>
      <c r="AI39" s="410"/>
      <c r="AJ39" s="191"/>
      <c r="AN39" s="297"/>
    </row>
    <row r="40" spans="1:40" ht="13.5" thickBot="1">
      <c r="A40" s="242"/>
      <c r="B40" s="193"/>
      <c r="C40" s="193"/>
      <c r="D40" s="193"/>
      <c r="E40" s="193"/>
      <c r="F40" s="193"/>
      <c r="G40" s="227"/>
      <c r="H40" s="227"/>
      <c r="I40" s="217"/>
      <c r="J40" s="217"/>
      <c r="K40" s="217"/>
      <c r="L40" s="217"/>
      <c r="M40" s="218"/>
      <c r="N40" s="227"/>
      <c r="O40" s="218"/>
      <c r="P40" s="123"/>
      <c r="Q40" s="174"/>
      <c r="R40" s="174"/>
      <c r="S40" s="174"/>
      <c r="T40" s="194"/>
      <c r="U40" s="194"/>
      <c r="V40" s="192"/>
      <c r="W40" s="174"/>
      <c r="X40" s="174"/>
      <c r="Y40" s="174"/>
      <c r="Z40" s="174"/>
      <c r="AA40" s="174"/>
      <c r="AB40" s="192"/>
      <c r="AC40" s="174"/>
      <c r="AD40" s="195"/>
      <c r="AE40" s="196"/>
      <c r="AF40" s="196"/>
      <c r="AG40" s="196"/>
      <c r="AH40" s="197"/>
      <c r="AI40" s="260"/>
      <c r="AJ40" s="197"/>
      <c r="AN40" s="297"/>
    </row>
    <row r="41" spans="1:40" ht="13.5" thickBot="1">
      <c r="A41" s="214" t="s">
        <v>2</v>
      </c>
      <c r="B41" s="187">
        <f t="shared" ref="B41:H41" si="8">SUM(B8:B40)</f>
        <v>283</v>
      </c>
      <c r="C41" s="188">
        <f t="shared" si="8"/>
        <v>25</v>
      </c>
      <c r="D41" s="188">
        <f t="shared" si="8"/>
        <v>307</v>
      </c>
      <c r="E41" s="188">
        <f t="shared" si="8"/>
        <v>27</v>
      </c>
      <c r="F41" s="188">
        <f t="shared" si="8"/>
        <v>642</v>
      </c>
      <c r="G41" s="190"/>
      <c r="H41" s="189">
        <f t="shared" si="8"/>
        <v>642</v>
      </c>
      <c r="I41" s="187"/>
      <c r="J41" s="188"/>
      <c r="K41" s="188"/>
      <c r="L41" s="188"/>
      <c r="M41" s="188"/>
      <c r="N41" s="190"/>
      <c r="O41" s="189"/>
      <c r="P41" s="187">
        <f t="shared" ref="P41:V41" si="9">SUM(P8:P40)</f>
        <v>1</v>
      </c>
      <c r="Q41" s="188"/>
      <c r="R41" s="188">
        <f t="shared" si="9"/>
        <v>1</v>
      </c>
      <c r="S41" s="188"/>
      <c r="T41" s="188">
        <f t="shared" si="9"/>
        <v>2</v>
      </c>
      <c r="U41" s="190"/>
      <c r="V41" s="190">
        <f t="shared" si="9"/>
        <v>2</v>
      </c>
      <c r="W41" s="187">
        <f t="shared" ref="W41:AC41" si="10">SUM(W8:W40)</f>
        <v>0</v>
      </c>
      <c r="X41" s="188">
        <f t="shared" si="10"/>
        <v>0</v>
      </c>
      <c r="Y41" s="188">
        <f t="shared" si="10"/>
        <v>0</v>
      </c>
      <c r="Z41" s="188">
        <f t="shared" si="10"/>
        <v>0</v>
      </c>
      <c r="AA41" s="188">
        <f t="shared" si="10"/>
        <v>0</v>
      </c>
      <c r="AB41" s="190">
        <f t="shared" si="10"/>
        <v>0</v>
      </c>
      <c r="AC41" s="190">
        <f t="shared" si="10"/>
        <v>0</v>
      </c>
      <c r="AD41" s="187">
        <f t="shared" ref="AD41:AJ41" si="11">SUM(AD8:AD40)</f>
        <v>284</v>
      </c>
      <c r="AE41" s="188">
        <f t="shared" si="11"/>
        <v>25</v>
      </c>
      <c r="AF41" s="188">
        <f t="shared" si="11"/>
        <v>308</v>
      </c>
      <c r="AG41" s="188">
        <f t="shared" si="11"/>
        <v>27</v>
      </c>
      <c r="AH41" s="188">
        <f t="shared" si="11"/>
        <v>644</v>
      </c>
      <c r="AI41" s="190"/>
      <c r="AJ41" s="189">
        <f t="shared" si="11"/>
        <v>644</v>
      </c>
      <c r="AK41" s="175"/>
      <c r="AL41" s="297"/>
      <c r="AM41" s="297"/>
      <c r="AN41" s="297"/>
    </row>
    <row r="42" spans="1:40" ht="13">
      <c r="A42" s="223" t="s">
        <v>87</v>
      </c>
      <c r="B42" s="256">
        <f t="shared" ref="B42:AJ42" si="12">B8+B9</f>
        <v>87</v>
      </c>
      <c r="C42" s="246">
        <f t="shared" si="12"/>
        <v>3</v>
      </c>
      <c r="D42" s="246">
        <f t="shared" si="12"/>
        <v>53</v>
      </c>
      <c r="E42" s="246">
        <f t="shared" si="12"/>
        <v>11</v>
      </c>
      <c r="F42" s="249">
        <f t="shared" si="12"/>
        <v>154</v>
      </c>
      <c r="G42" s="248"/>
      <c r="H42" s="248">
        <f t="shared" si="12"/>
        <v>154</v>
      </c>
      <c r="I42" s="256"/>
      <c r="J42" s="246"/>
      <c r="K42" s="246"/>
      <c r="L42" s="246"/>
      <c r="M42" s="249"/>
      <c r="N42" s="248"/>
      <c r="O42" s="248"/>
      <c r="P42" s="256">
        <f t="shared" si="12"/>
        <v>0</v>
      </c>
      <c r="Q42" s="246"/>
      <c r="R42" s="246">
        <f t="shared" si="12"/>
        <v>0</v>
      </c>
      <c r="S42" s="246"/>
      <c r="T42" s="249">
        <f t="shared" si="12"/>
        <v>0</v>
      </c>
      <c r="U42" s="248"/>
      <c r="V42" s="248">
        <f t="shared" si="12"/>
        <v>0</v>
      </c>
      <c r="W42" s="256">
        <f t="shared" si="12"/>
        <v>0</v>
      </c>
      <c r="X42" s="246">
        <f t="shared" si="12"/>
        <v>0</v>
      </c>
      <c r="Y42" s="246">
        <f t="shared" si="12"/>
        <v>0</v>
      </c>
      <c r="Z42" s="246">
        <f t="shared" si="12"/>
        <v>0</v>
      </c>
      <c r="AA42" s="249">
        <f t="shared" si="12"/>
        <v>0</v>
      </c>
      <c r="AB42" s="248">
        <f t="shared" si="12"/>
        <v>0</v>
      </c>
      <c r="AC42" s="248">
        <f t="shared" si="12"/>
        <v>0</v>
      </c>
      <c r="AD42" s="256">
        <f t="shared" si="12"/>
        <v>87</v>
      </c>
      <c r="AE42" s="246">
        <f t="shared" si="12"/>
        <v>3</v>
      </c>
      <c r="AF42" s="246">
        <f t="shared" si="12"/>
        <v>53</v>
      </c>
      <c r="AG42" s="246">
        <f t="shared" si="12"/>
        <v>11</v>
      </c>
      <c r="AH42" s="249">
        <f t="shared" si="12"/>
        <v>154</v>
      </c>
      <c r="AI42" s="248"/>
      <c r="AJ42" s="248">
        <f t="shared" si="12"/>
        <v>154</v>
      </c>
      <c r="AL42" s="297"/>
      <c r="AM42" s="297"/>
      <c r="AN42" s="297"/>
    </row>
    <row r="43" spans="1:40" ht="13">
      <c r="A43" s="124" t="s">
        <v>109</v>
      </c>
      <c r="B43" s="256">
        <f t="shared" ref="B43:H43" si="13">SUM(B10:B12)</f>
        <v>134</v>
      </c>
      <c r="C43" s="246">
        <f t="shared" si="13"/>
        <v>14</v>
      </c>
      <c r="D43" s="246">
        <f t="shared" si="13"/>
        <v>197</v>
      </c>
      <c r="E43" s="246">
        <f t="shared" si="13"/>
        <v>7</v>
      </c>
      <c r="F43" s="249">
        <f t="shared" si="13"/>
        <v>352</v>
      </c>
      <c r="G43" s="249"/>
      <c r="H43" s="249">
        <f t="shared" si="13"/>
        <v>352</v>
      </c>
      <c r="I43" s="256"/>
      <c r="J43" s="246"/>
      <c r="K43" s="246"/>
      <c r="L43" s="246"/>
      <c r="M43" s="249"/>
      <c r="N43" s="249"/>
      <c r="O43" s="249"/>
      <c r="P43" s="256">
        <f t="shared" ref="P43:AJ43" si="14">SUM(P10:P12)</f>
        <v>0</v>
      </c>
      <c r="Q43" s="246"/>
      <c r="R43" s="246">
        <f t="shared" si="14"/>
        <v>0</v>
      </c>
      <c r="S43" s="246"/>
      <c r="T43" s="249">
        <f t="shared" si="14"/>
        <v>0</v>
      </c>
      <c r="U43" s="249"/>
      <c r="V43" s="252">
        <f t="shared" si="14"/>
        <v>0</v>
      </c>
      <c r="W43" s="256">
        <f t="shared" si="14"/>
        <v>0</v>
      </c>
      <c r="X43" s="246">
        <f t="shared" si="14"/>
        <v>0</v>
      </c>
      <c r="Y43" s="246">
        <f t="shared" si="14"/>
        <v>0</v>
      </c>
      <c r="Z43" s="246">
        <f t="shared" si="14"/>
        <v>0</v>
      </c>
      <c r="AA43" s="249">
        <f t="shared" si="14"/>
        <v>0</v>
      </c>
      <c r="AB43" s="249">
        <f t="shared" si="14"/>
        <v>0</v>
      </c>
      <c r="AC43" s="252">
        <f t="shared" si="14"/>
        <v>0</v>
      </c>
      <c r="AD43" s="256">
        <f t="shared" si="14"/>
        <v>134</v>
      </c>
      <c r="AE43" s="246">
        <f t="shared" si="14"/>
        <v>14</v>
      </c>
      <c r="AF43" s="246">
        <f t="shared" si="14"/>
        <v>197</v>
      </c>
      <c r="AG43" s="246">
        <f t="shared" si="14"/>
        <v>7</v>
      </c>
      <c r="AH43" s="249">
        <f t="shared" si="14"/>
        <v>352</v>
      </c>
      <c r="AI43" s="249"/>
      <c r="AJ43" s="249">
        <f t="shared" si="14"/>
        <v>352</v>
      </c>
      <c r="AL43" s="297"/>
      <c r="AM43" s="297"/>
      <c r="AN43" s="297"/>
    </row>
    <row r="44" spans="1:40" ht="13">
      <c r="A44" s="124" t="s">
        <v>110</v>
      </c>
      <c r="B44" s="256">
        <f t="shared" ref="B44:H44" si="15">SUM(B13:B14)</f>
        <v>56</v>
      </c>
      <c r="C44" s="246">
        <f t="shared" si="15"/>
        <v>8</v>
      </c>
      <c r="D44" s="246">
        <f t="shared" si="15"/>
        <v>48</v>
      </c>
      <c r="E44" s="246">
        <f t="shared" si="15"/>
        <v>5</v>
      </c>
      <c r="F44" s="249">
        <f t="shared" si="15"/>
        <v>117</v>
      </c>
      <c r="G44" s="249"/>
      <c r="H44" s="249">
        <f t="shared" si="15"/>
        <v>117</v>
      </c>
      <c r="I44" s="256"/>
      <c r="J44" s="246"/>
      <c r="K44" s="246"/>
      <c r="L44" s="246"/>
      <c r="M44" s="249"/>
      <c r="N44" s="249"/>
      <c r="O44" s="249"/>
      <c r="P44" s="256">
        <f t="shared" ref="P44:V44" si="16">SUM(P13:P14)</f>
        <v>1</v>
      </c>
      <c r="Q44" s="246"/>
      <c r="R44" s="246">
        <f t="shared" si="16"/>
        <v>1</v>
      </c>
      <c r="S44" s="246"/>
      <c r="T44" s="249">
        <f t="shared" si="16"/>
        <v>2</v>
      </c>
      <c r="U44" s="249"/>
      <c r="V44" s="252">
        <f t="shared" si="16"/>
        <v>2</v>
      </c>
      <c r="W44" s="256">
        <f>SUM(W13:W14)</f>
        <v>0</v>
      </c>
      <c r="X44" s="246">
        <f>SUM(X13:X14)</f>
        <v>0</v>
      </c>
      <c r="Y44" s="246">
        <f>SUM(Y13:Y14)</f>
        <v>0</v>
      </c>
      <c r="Z44" s="246">
        <f>SUM(Z13:Z14)</f>
        <v>0</v>
      </c>
      <c r="AA44" s="249">
        <f>SUM(AA13:AA14)</f>
        <v>0</v>
      </c>
      <c r="AB44" s="249">
        <f t="shared" ref="AB44:AJ44" si="17">SUM(AB13:AB14)</f>
        <v>0</v>
      </c>
      <c r="AC44" s="252">
        <f t="shared" si="17"/>
        <v>0</v>
      </c>
      <c r="AD44" s="256">
        <f t="shared" si="17"/>
        <v>57</v>
      </c>
      <c r="AE44" s="246">
        <f t="shared" si="17"/>
        <v>8</v>
      </c>
      <c r="AF44" s="246">
        <f t="shared" si="17"/>
        <v>49</v>
      </c>
      <c r="AG44" s="246">
        <f t="shared" si="17"/>
        <v>5</v>
      </c>
      <c r="AH44" s="249">
        <f t="shared" si="17"/>
        <v>119</v>
      </c>
      <c r="AI44" s="249"/>
      <c r="AJ44" s="249">
        <f t="shared" si="17"/>
        <v>119</v>
      </c>
      <c r="AL44" s="297"/>
      <c r="AM44" s="297"/>
      <c r="AN44" s="297"/>
    </row>
    <row r="45" spans="1:40" ht="13.5" thickBot="1">
      <c r="A45" s="176" t="s">
        <v>111</v>
      </c>
      <c r="B45" s="257">
        <f t="shared" ref="B45:H45" si="18">SUM(B15:B39)</f>
        <v>6</v>
      </c>
      <c r="C45" s="247">
        <f t="shared" si="18"/>
        <v>0</v>
      </c>
      <c r="D45" s="247">
        <f t="shared" si="18"/>
        <v>9</v>
      </c>
      <c r="E45" s="247">
        <f t="shared" si="18"/>
        <v>4</v>
      </c>
      <c r="F45" s="250">
        <f t="shared" si="18"/>
        <v>19</v>
      </c>
      <c r="G45" s="250"/>
      <c r="H45" s="250">
        <f t="shared" si="18"/>
        <v>19</v>
      </c>
      <c r="I45" s="257"/>
      <c r="J45" s="247"/>
      <c r="K45" s="247"/>
      <c r="L45" s="247"/>
      <c r="M45" s="250"/>
      <c r="N45" s="250"/>
      <c r="O45" s="250"/>
      <c r="P45" s="257">
        <f t="shared" ref="P45:V45" si="19">SUM(P15:P39)</f>
        <v>0</v>
      </c>
      <c r="Q45" s="247"/>
      <c r="R45" s="247">
        <f t="shared" si="19"/>
        <v>0</v>
      </c>
      <c r="S45" s="247"/>
      <c r="T45" s="250">
        <f t="shared" si="19"/>
        <v>0</v>
      </c>
      <c r="U45" s="250"/>
      <c r="V45" s="253">
        <f t="shared" si="19"/>
        <v>0</v>
      </c>
      <c r="W45" s="257">
        <f>SUM(W15:W39)</f>
        <v>0</v>
      </c>
      <c r="X45" s="247">
        <f>SUM(X15:X39)</f>
        <v>0</v>
      </c>
      <c r="Y45" s="247">
        <f>SUM(Y15:Y39)</f>
        <v>0</v>
      </c>
      <c r="Z45" s="247">
        <f>SUM(Z15:Z39)</f>
        <v>0</v>
      </c>
      <c r="AA45" s="250">
        <f>SUM(AA15:AA39)</f>
        <v>0</v>
      </c>
      <c r="AB45" s="250">
        <f t="shared" ref="AB45:AJ45" si="20">SUM(AB15:AB39)</f>
        <v>0</v>
      </c>
      <c r="AC45" s="253">
        <f t="shared" si="20"/>
        <v>0</v>
      </c>
      <c r="AD45" s="257">
        <f t="shared" si="20"/>
        <v>6</v>
      </c>
      <c r="AE45" s="247">
        <f t="shared" si="20"/>
        <v>0</v>
      </c>
      <c r="AF45" s="247">
        <f t="shared" si="20"/>
        <v>9</v>
      </c>
      <c r="AG45" s="247">
        <f t="shared" si="20"/>
        <v>4</v>
      </c>
      <c r="AH45" s="250">
        <f t="shared" si="20"/>
        <v>19</v>
      </c>
      <c r="AI45" s="250"/>
      <c r="AJ45" s="250">
        <f t="shared" si="20"/>
        <v>19</v>
      </c>
      <c r="AL45" s="297"/>
      <c r="AM45" s="297"/>
      <c r="AN45" s="297"/>
    </row>
    <row r="46" spans="1:40" ht="13">
      <c r="A46" s="121"/>
      <c r="B46" s="245"/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8"/>
    </row>
    <row r="47" spans="1:40" ht="13">
      <c r="A47" s="29" t="s">
        <v>271</v>
      </c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  <c r="AA47" s="246"/>
      <c r="AB47" s="246"/>
      <c r="AC47" s="246"/>
      <c r="AD47" s="246"/>
      <c r="AE47" s="246"/>
      <c r="AF47" s="246"/>
      <c r="AG47" s="246"/>
      <c r="AH47" s="246"/>
      <c r="AI47" s="246"/>
      <c r="AJ47" s="249"/>
    </row>
    <row r="48" spans="1:40" ht="13">
      <c r="A48" s="29"/>
      <c r="B48" s="415" t="s">
        <v>345</v>
      </c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246"/>
      <c r="AF48" s="246"/>
      <c r="AG48" s="246"/>
      <c r="AH48" s="246"/>
      <c r="AI48" s="246"/>
      <c r="AJ48" s="249"/>
    </row>
    <row r="49" spans="1:36" ht="13.5" thickBot="1">
      <c r="A49" s="72"/>
      <c r="B49" s="432" t="s">
        <v>270</v>
      </c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H49" s="247"/>
      <c r="AI49" s="247"/>
      <c r="AJ49" s="250"/>
    </row>
    <row r="50" spans="1:36">
      <c r="B50" s="175"/>
      <c r="C50" s="175"/>
      <c r="D50" s="175"/>
      <c r="E50" s="175"/>
      <c r="F50" s="175"/>
      <c r="G50" s="175"/>
      <c r="H50" s="175"/>
    </row>
    <row r="51" spans="1:36" ht="13">
      <c r="A51" s="261" t="s">
        <v>86</v>
      </c>
      <c r="B51" s="18">
        <f t="shared" ref="B51:H51" si="21">SUM(B42:B45)-B41</f>
        <v>0</v>
      </c>
      <c r="C51" s="18">
        <f t="shared" si="21"/>
        <v>0</v>
      </c>
      <c r="D51" s="18">
        <f t="shared" si="21"/>
        <v>0</v>
      </c>
      <c r="E51" s="18">
        <f t="shared" si="21"/>
        <v>0</v>
      </c>
      <c r="F51" s="18">
        <f t="shared" si="21"/>
        <v>0</v>
      </c>
      <c r="G51" s="18">
        <f t="shared" si="21"/>
        <v>0</v>
      </c>
      <c r="H51" s="18">
        <f t="shared" si="21"/>
        <v>0</v>
      </c>
      <c r="I51" s="18">
        <f t="shared" ref="I51:AJ51" si="22">SUM(I42:I45)-I41</f>
        <v>0</v>
      </c>
      <c r="J51" s="18">
        <f t="shared" si="22"/>
        <v>0</v>
      </c>
      <c r="K51" s="18">
        <f t="shared" si="22"/>
        <v>0</v>
      </c>
      <c r="L51" s="18">
        <f t="shared" si="22"/>
        <v>0</v>
      </c>
      <c r="M51" s="18">
        <f t="shared" si="22"/>
        <v>0</v>
      </c>
      <c r="N51" s="18">
        <f t="shared" si="22"/>
        <v>0</v>
      </c>
      <c r="O51" s="18">
        <f t="shared" si="22"/>
        <v>0</v>
      </c>
      <c r="P51" s="18">
        <f t="shared" si="22"/>
        <v>0</v>
      </c>
      <c r="Q51" s="18">
        <f t="shared" si="22"/>
        <v>0</v>
      </c>
      <c r="R51" s="18">
        <f t="shared" si="22"/>
        <v>0</v>
      </c>
      <c r="S51" s="18">
        <f t="shared" si="22"/>
        <v>0</v>
      </c>
      <c r="T51" s="18">
        <f t="shared" si="22"/>
        <v>0</v>
      </c>
      <c r="U51" s="18">
        <f t="shared" si="22"/>
        <v>0</v>
      </c>
      <c r="V51" s="18">
        <f t="shared" si="22"/>
        <v>0</v>
      </c>
      <c r="W51" s="18">
        <f t="shared" ref="W51:AC51" si="23">SUM(W42:W45)-W41</f>
        <v>0</v>
      </c>
      <c r="X51" s="18">
        <f t="shared" si="23"/>
        <v>0</v>
      </c>
      <c r="Y51" s="18">
        <f t="shared" si="23"/>
        <v>0</v>
      </c>
      <c r="Z51" s="18">
        <f t="shared" si="23"/>
        <v>0</v>
      </c>
      <c r="AA51" s="18">
        <f t="shared" si="23"/>
        <v>0</v>
      </c>
      <c r="AB51" s="18">
        <f t="shared" si="23"/>
        <v>0</v>
      </c>
      <c r="AC51" s="18">
        <f t="shared" si="23"/>
        <v>0</v>
      </c>
      <c r="AD51" s="18">
        <f t="shared" si="22"/>
        <v>0</v>
      </c>
      <c r="AE51" s="18">
        <f t="shared" si="22"/>
        <v>0</v>
      </c>
      <c r="AF51" s="18">
        <f t="shared" si="22"/>
        <v>0</v>
      </c>
      <c r="AG51" s="18">
        <f t="shared" si="22"/>
        <v>0</v>
      </c>
      <c r="AH51" s="18">
        <f t="shared" si="22"/>
        <v>0</v>
      </c>
      <c r="AI51" s="18">
        <f t="shared" si="22"/>
        <v>0</v>
      </c>
      <c r="AJ51" s="18">
        <f t="shared" si="22"/>
        <v>0</v>
      </c>
    </row>
  </sheetData>
  <mergeCells count="11">
    <mergeCell ref="I3:M3"/>
    <mergeCell ref="P3:T3"/>
    <mergeCell ref="AD3:AH3"/>
    <mergeCell ref="A1:AJ1"/>
    <mergeCell ref="I2:O2"/>
    <mergeCell ref="P2:V2"/>
    <mergeCell ref="AD2:AJ2"/>
    <mergeCell ref="W3:AA3"/>
    <mergeCell ref="W2:AC2"/>
    <mergeCell ref="B2:H2"/>
    <mergeCell ref="B3:F3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  <colBreaks count="1" manualBreakCount="1">
    <brk id="15" max="46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74">
    <tabColor rgb="FF00642D"/>
    <pageSetUpPr fitToPage="1"/>
  </sheetPr>
  <dimension ref="A1:P58"/>
  <sheetViews>
    <sheetView topLeftCell="A17" zoomScaleNormal="100" workbookViewId="0">
      <selection activeCell="F8" sqref="F8"/>
    </sheetView>
  </sheetViews>
  <sheetFormatPr defaultRowHeight="12.5"/>
  <cols>
    <col min="1" max="1" width="41.1796875" customWidth="1"/>
    <col min="2" max="11" width="11.1796875" customWidth="1"/>
    <col min="12" max="15" width="10.26953125" bestFit="1" customWidth="1"/>
    <col min="16" max="16" width="9.1796875" bestFit="1" customWidth="1"/>
  </cols>
  <sheetData>
    <row r="1" spans="1:16" ht="18.5" thickBot="1">
      <c r="A1" s="735" t="s">
        <v>191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6" ht="13.5" thickBot="1">
      <c r="A2" s="103"/>
      <c r="B2" s="737" t="s">
        <v>0</v>
      </c>
      <c r="C2" s="737"/>
      <c r="D2" s="737"/>
      <c r="E2" s="737"/>
      <c r="F2" s="737"/>
      <c r="G2" s="736" t="s">
        <v>1</v>
      </c>
      <c r="H2" s="737"/>
      <c r="I2" s="737"/>
      <c r="J2" s="737"/>
      <c r="K2" s="738"/>
      <c r="L2" s="736" t="s">
        <v>192</v>
      </c>
      <c r="M2" s="737"/>
      <c r="N2" s="737"/>
      <c r="O2" s="737"/>
      <c r="P2" s="738"/>
    </row>
    <row r="3" spans="1:16" ht="13.5" thickBot="1">
      <c r="A3" s="77" t="s">
        <v>47</v>
      </c>
      <c r="B3" s="449" t="s">
        <v>87</v>
      </c>
      <c r="C3" s="346" t="s">
        <v>109</v>
      </c>
      <c r="D3" s="346" t="s">
        <v>110</v>
      </c>
      <c r="E3" s="346" t="s">
        <v>111</v>
      </c>
      <c r="F3" s="449" t="s">
        <v>128</v>
      </c>
      <c r="G3" s="342" t="s">
        <v>87</v>
      </c>
      <c r="H3" s="343" t="s">
        <v>109</v>
      </c>
      <c r="I3" s="343" t="s">
        <v>110</v>
      </c>
      <c r="J3" s="343" t="s">
        <v>111</v>
      </c>
      <c r="K3" s="344" t="s">
        <v>129</v>
      </c>
      <c r="L3" s="342" t="s">
        <v>87</v>
      </c>
      <c r="M3" s="343" t="s">
        <v>109</v>
      </c>
      <c r="N3" s="343" t="s">
        <v>110</v>
      </c>
      <c r="O3" s="343" t="s">
        <v>111</v>
      </c>
      <c r="P3" s="344" t="s">
        <v>2</v>
      </c>
    </row>
    <row r="4" spans="1:16" ht="13">
      <c r="A4" s="453"/>
      <c r="B4" s="35"/>
      <c r="C4" s="146"/>
      <c r="D4" s="146"/>
      <c r="E4" s="146"/>
      <c r="F4" s="146"/>
      <c r="G4" s="35"/>
      <c r="H4" s="146"/>
      <c r="I4" s="146"/>
      <c r="J4" s="146"/>
      <c r="K4" s="281"/>
      <c r="L4" s="35"/>
      <c r="M4" s="146"/>
      <c r="N4" s="146"/>
      <c r="O4" s="146"/>
      <c r="P4" s="281"/>
    </row>
    <row r="5" spans="1:16" ht="13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6" ht="13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 ht="13">
      <c r="A7" s="375"/>
      <c r="B7" s="37"/>
      <c r="C7" s="540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6" ht="13">
      <c r="A8" s="117" t="s">
        <v>53</v>
      </c>
      <c r="B8" s="111">
        <f>('Sch TOU-A TSM Summary'!B9*'Sm Comm Cust Fcst'!$F$42+'Sch TOU-M TSM Summary'!B9*'Sm Comm Cust Fcst'!$T$42)/'Sm Comm Cust Fcst'!$AH$42</f>
        <v>589.20209093746712</v>
      </c>
      <c r="C8" s="33">
        <f>('Sch TOU-A TSM Summary'!C9*'Sm Comm Cust Fcst'!$F$43+'Sch TOU-M TSM Summary'!C9*'Sm Comm Cust Fcst'!$T$43)/'Sm Comm Cust Fcst'!$AH$43</f>
        <v>2031.6513172812186</v>
      </c>
      <c r="D8" s="33">
        <f>('Sch TOU-A TSM Summary'!D9*'Sm Comm Cust Fcst'!$F$44+'Sch TOU-M TSM Summary'!D9*'Sm Comm Cust Fcst'!$T$44)/'Sm Comm Cust Fcst'!$AH$44</f>
        <v>6907.9171444689382</v>
      </c>
      <c r="E8" s="33">
        <f>('Sch TOU-A TSM Summary'!E9*'Sm Comm Cust Fcst'!$F$45+'Sch TOU-M TSM Summary'!E9*'Sm Comm Cust Fcst'!$T$45)/'Sm Comm Cust Fcst'!$AH$45</f>
        <v>11917.548778360455</v>
      </c>
      <c r="F8" s="33">
        <f>('Sch TOU-A TSM Summary'!F9*'Sm Comm Cust Fcst'!$F$41+'Sch TOU-M TSM Summary'!F9*'Sm Comm Cust Fcst'!$T$41)/'Sm Comm Cust Fcst'!$AH$41</f>
        <v>2879.4316035217566</v>
      </c>
      <c r="G8" s="111"/>
      <c r="H8" s="33"/>
      <c r="I8" s="33"/>
      <c r="J8" s="33"/>
      <c r="K8" s="34"/>
      <c r="L8" s="111">
        <f>('Sch TOU-A TSM Summary'!L9*'Sm Comm Cust Fcst'!$H$42+'Sch TOU-M TSM Summary'!L9*'Sm Comm Cust Fcst'!$V$42)/'Sm Comm Cust Fcst'!$AJ$42</f>
        <v>589.20209093746712</v>
      </c>
      <c r="M8" s="33">
        <f>('Sch TOU-A TSM Summary'!M9*'Sm Comm Cust Fcst'!$H$43+'Sch TOU-M TSM Summary'!M9*'Sm Comm Cust Fcst'!$V$43)/'Sm Comm Cust Fcst'!$AJ$43</f>
        <v>2031.6513172812186</v>
      </c>
      <c r="N8" s="33">
        <f>('Sch TOU-A TSM Summary'!N9*'Sm Comm Cust Fcst'!$H$44+'Sch TOU-M TSM Summary'!N9*'Sm Comm Cust Fcst'!$V$44)/'Sm Comm Cust Fcst'!$AJ$44</f>
        <v>6907.9171444689382</v>
      </c>
      <c r="O8" s="33">
        <f>('Sch TOU-A TSM Summary'!O9*'Sm Comm Cust Fcst'!$H$45+'Sch TOU-M TSM Summary'!O9*'Sm Comm Cust Fcst'!$V$45)/'Sm Comm Cust Fcst'!$AJ$45</f>
        <v>11917.548778360455</v>
      </c>
      <c r="P8" s="34">
        <f>('Sch TOU-A TSM Summary'!P9*'Sm Comm Cust Fcst'!$H$41+'Sch TOU-M TSM Summary'!P9*'Sm Comm Cust Fcst'!$V$41)/'Sm Comm Cust Fcst'!$AJ$41</f>
        <v>2879.4316035217566</v>
      </c>
    </row>
    <row r="9" spans="1:16" ht="13">
      <c r="A9" s="117" t="s">
        <v>51</v>
      </c>
      <c r="B9" s="111">
        <f>('Sch TOU-A TSM Summary'!B10*'Sm Comm Cust Fcst'!$F$42+'Sch TOU-M TSM Summary'!B10*'Sm Comm Cust Fcst'!$T$42)/'Sm Comm Cust Fcst'!$AH$42</f>
        <v>328.678580465099</v>
      </c>
      <c r="C9" s="33">
        <f>('Sch TOU-A TSM Summary'!C10*'Sm Comm Cust Fcst'!$F$43+'Sch TOU-M TSM Summary'!C10*'Sm Comm Cust Fcst'!$T$43)/'Sm Comm Cust Fcst'!$AH$43</f>
        <v>482.52152479777362</v>
      </c>
      <c r="D9" s="33">
        <f>('Sch TOU-A TSM Summary'!D10*'Sm Comm Cust Fcst'!$F$44+'Sch TOU-M TSM Summary'!D10*'Sm Comm Cust Fcst'!$T$44)/'Sm Comm Cust Fcst'!$AH$44</f>
        <v>595.72310357179015</v>
      </c>
      <c r="E9" s="33">
        <f>('Sch TOU-A TSM Summary'!E10*'Sm Comm Cust Fcst'!$F$45+'Sch TOU-M TSM Summary'!E10*'Sm Comm Cust Fcst'!$T$45)/'Sm Comm Cust Fcst'!$AH$45</f>
        <v>1447.7118620257893</v>
      </c>
      <c r="F9" s="33">
        <f>('Sch TOU-A TSM Summary'!F10*'Sm Comm Cust Fcst'!$F$41+'Sch TOU-M TSM Summary'!F10*'Sm Comm Cust Fcst'!$T$41)/'Sm Comm Cust Fcst'!$AH$41</f>
        <v>495.12679009933936</v>
      </c>
      <c r="G9" s="111"/>
      <c r="H9" s="33"/>
      <c r="I9" s="33"/>
      <c r="J9" s="33"/>
      <c r="K9" s="34"/>
      <c r="L9" s="111">
        <f>('Sch TOU-A TSM Summary'!L10*'Sm Comm Cust Fcst'!$H$42+'Sch TOU-M TSM Summary'!L10*'Sm Comm Cust Fcst'!$V$42)/'Sm Comm Cust Fcst'!$AJ$42</f>
        <v>328.678580465099</v>
      </c>
      <c r="M9" s="33">
        <f>('Sch TOU-A TSM Summary'!M10*'Sm Comm Cust Fcst'!$H$43+'Sch TOU-M TSM Summary'!M10*'Sm Comm Cust Fcst'!$V$43)/'Sm Comm Cust Fcst'!$AJ$43</f>
        <v>482.52152479777362</v>
      </c>
      <c r="N9" s="33">
        <f>('Sch TOU-A TSM Summary'!N10*'Sm Comm Cust Fcst'!$H$44+'Sch TOU-M TSM Summary'!N10*'Sm Comm Cust Fcst'!$V$44)/'Sm Comm Cust Fcst'!$AJ$44</f>
        <v>595.72310357179015</v>
      </c>
      <c r="O9" s="33">
        <f>('Sch TOU-A TSM Summary'!O10*'Sm Comm Cust Fcst'!$H$45+'Sch TOU-M TSM Summary'!O10*'Sm Comm Cust Fcst'!$V$45)/'Sm Comm Cust Fcst'!$AJ$45</f>
        <v>1447.7118620257893</v>
      </c>
      <c r="P9" s="34">
        <f>('Sch TOU-A TSM Summary'!P10*'Sm Comm Cust Fcst'!$H$41+'Sch TOU-M TSM Summary'!P10*'Sm Comm Cust Fcst'!$V$41)/'Sm Comm Cust Fcst'!$AJ$41</f>
        <v>495.12679009933936</v>
      </c>
    </row>
    <row r="10" spans="1:16" ht="13">
      <c r="A10" s="117" t="s">
        <v>52</v>
      </c>
      <c r="B10" s="111">
        <f>('Sch TOU-A TSM Summary'!B11*'Sm Comm Cust Fcst'!$F$42+'Sch TOU-M TSM Summary'!B11*'Sm Comm Cust Fcst'!$T$42)/'Sm Comm Cust Fcst'!$AH$42</f>
        <v>263.65085114339092</v>
      </c>
      <c r="C10" s="33">
        <f>('Sch TOU-A TSM Summary'!C11*'Sm Comm Cust Fcst'!$F$43+'Sch TOU-M TSM Summary'!C11*'Sm Comm Cust Fcst'!$T$43)/'Sm Comm Cust Fcst'!$AH$43</f>
        <v>276.08126932500363</v>
      </c>
      <c r="D10" s="33">
        <f>('Sch TOU-A TSM Summary'!D11*'Sm Comm Cust Fcst'!$F$44+'Sch TOU-M TSM Summary'!D11*'Sm Comm Cust Fcst'!$T$44)/'Sm Comm Cust Fcst'!$AH$44</f>
        <v>269.44892129806908</v>
      </c>
      <c r="E10" s="33">
        <f>('Sch TOU-A TSM Summary'!E11*'Sm Comm Cust Fcst'!$F$45+'Sch TOU-M TSM Summary'!E11*'Sm Comm Cust Fcst'!$T$45)/'Sm Comm Cust Fcst'!$AH$45</f>
        <v>458.53673599116911</v>
      </c>
      <c r="F10" s="33">
        <f>('Sch TOU-A TSM Summary'!F11*'Sm Comm Cust Fcst'!$F$41+'Sch TOU-M TSM Summary'!F11*'Sm Comm Cust Fcst'!$T$41)/'Sm Comm Cust Fcst'!$AH$41</f>
        <v>277.26623834904643</v>
      </c>
      <c r="G10" s="111"/>
      <c r="H10" s="33"/>
      <c r="I10" s="33"/>
      <c r="J10" s="33"/>
      <c r="K10" s="34"/>
      <c r="L10" s="111">
        <f>('Sch TOU-A TSM Summary'!L11*'Sm Comm Cust Fcst'!$H$42+'Sch TOU-M TSM Summary'!L11*'Sm Comm Cust Fcst'!$V$42)/'Sm Comm Cust Fcst'!$AJ$42</f>
        <v>263.65085114339092</v>
      </c>
      <c r="M10" s="33">
        <f>('Sch TOU-A TSM Summary'!M11*'Sm Comm Cust Fcst'!$H$43+'Sch TOU-M TSM Summary'!M11*'Sm Comm Cust Fcst'!$V$43)/'Sm Comm Cust Fcst'!$AJ$43</f>
        <v>276.08126932500363</v>
      </c>
      <c r="N10" s="33">
        <f>('Sch TOU-A TSM Summary'!N11*'Sm Comm Cust Fcst'!$H$44+'Sch TOU-M TSM Summary'!N11*'Sm Comm Cust Fcst'!$V$44)/'Sm Comm Cust Fcst'!$AJ$44</f>
        <v>269.44892129806908</v>
      </c>
      <c r="O10" s="33">
        <f>('Sch TOU-A TSM Summary'!O11*'Sm Comm Cust Fcst'!$H$45+'Sch TOU-M TSM Summary'!O11*'Sm Comm Cust Fcst'!$V$45)/'Sm Comm Cust Fcst'!$AJ$45</f>
        <v>458.53673599116911</v>
      </c>
      <c r="P10" s="34">
        <f>('Sch TOU-A TSM Summary'!P11*'Sm Comm Cust Fcst'!$H$41+'Sch TOU-M TSM Summary'!P11*'Sm Comm Cust Fcst'!$V$41)/'Sm Comm Cust Fcst'!$AJ$41</f>
        <v>277.26623834904643</v>
      </c>
    </row>
    <row r="11" spans="1:16" ht="13">
      <c r="A11" s="376"/>
      <c r="B11" s="38"/>
      <c r="C11" s="68"/>
      <c r="D11" s="68"/>
      <c r="E11" s="68"/>
      <c r="F11" s="68"/>
      <c r="G11" s="531"/>
      <c r="H11" s="530"/>
      <c r="I11" s="530"/>
      <c r="J11" s="530"/>
      <c r="K11" s="532"/>
      <c r="L11" s="531"/>
      <c r="M11" s="530"/>
      <c r="N11" s="530"/>
      <c r="O11" s="530"/>
      <c r="P11" s="532"/>
    </row>
    <row r="12" spans="1:16" ht="13">
      <c r="A12" s="117" t="s">
        <v>35</v>
      </c>
      <c r="B12" s="114">
        <f t="shared" ref="B12:P12" si="0">SUM(B8:B10)</f>
        <v>1181.5315225459572</v>
      </c>
      <c r="C12" s="30">
        <f t="shared" si="0"/>
        <v>2790.2541114039959</v>
      </c>
      <c r="D12" s="30">
        <f t="shared" si="0"/>
        <v>7773.0891693387975</v>
      </c>
      <c r="E12" s="30">
        <f t="shared" si="0"/>
        <v>13823.797376377413</v>
      </c>
      <c r="F12" s="30">
        <f t="shared" si="0"/>
        <v>3651.8246319701425</v>
      </c>
      <c r="G12" s="119"/>
      <c r="H12" s="73"/>
      <c r="I12" s="73"/>
      <c r="J12" s="73"/>
      <c r="K12" s="75"/>
      <c r="L12" s="119">
        <f t="shared" si="0"/>
        <v>1181.5315225459572</v>
      </c>
      <c r="M12" s="73">
        <f t="shared" si="0"/>
        <v>2790.2541114039959</v>
      </c>
      <c r="N12" s="73">
        <f t="shared" si="0"/>
        <v>7773.0891693387975</v>
      </c>
      <c r="O12" s="73">
        <f t="shared" si="0"/>
        <v>13823.797376377413</v>
      </c>
      <c r="P12" s="75">
        <f t="shared" si="0"/>
        <v>3651.8246319701425</v>
      </c>
    </row>
    <row r="13" spans="1:16" ht="13">
      <c r="A13" s="376"/>
      <c r="B13" s="38"/>
      <c r="C13" s="68"/>
      <c r="D13" s="68"/>
      <c r="E13" s="68"/>
      <c r="F13" s="68"/>
      <c r="G13" s="531"/>
      <c r="H13" s="530"/>
      <c r="I13" s="530"/>
      <c r="J13" s="530"/>
      <c r="K13" s="532"/>
      <c r="L13" s="531"/>
      <c r="M13" s="530"/>
      <c r="N13" s="530"/>
      <c r="O13" s="530"/>
      <c r="P13" s="532"/>
    </row>
    <row r="14" spans="1:16" ht="13">
      <c r="A14" s="117" t="s">
        <v>61</v>
      </c>
      <c r="B14" s="114"/>
      <c r="C14" s="30"/>
      <c r="D14" s="30"/>
      <c r="E14" s="30"/>
      <c r="F14" s="30"/>
      <c r="G14" s="119"/>
      <c r="H14" s="73"/>
      <c r="I14" s="73"/>
      <c r="J14" s="73"/>
      <c r="K14" s="75"/>
      <c r="L14" s="119"/>
      <c r="M14" s="73"/>
      <c r="N14" s="73"/>
      <c r="O14" s="73"/>
      <c r="P14" s="75"/>
    </row>
    <row r="15" spans="1:16" ht="13">
      <c r="A15" s="377">
        <f>Inputs!C3</f>
        <v>2.9094935671404847E-2</v>
      </c>
      <c r="B15" s="114"/>
      <c r="C15" s="30"/>
      <c r="D15" s="30"/>
      <c r="E15" s="30"/>
      <c r="F15" s="30"/>
      <c r="G15" s="119"/>
      <c r="H15" s="73"/>
      <c r="I15" s="73"/>
      <c r="J15" s="73"/>
      <c r="K15" s="75"/>
      <c r="L15" s="119"/>
      <c r="M15" s="73"/>
      <c r="N15" s="73"/>
      <c r="O15" s="73"/>
      <c r="P15" s="75"/>
    </row>
    <row r="16" spans="1:16" ht="13">
      <c r="A16" s="36" t="s">
        <v>60</v>
      </c>
      <c r="B16" s="114"/>
      <c r="C16" s="30"/>
      <c r="D16" s="30"/>
      <c r="E16" s="30"/>
      <c r="F16" s="30"/>
      <c r="G16" s="119"/>
      <c r="H16" s="73"/>
      <c r="I16" s="73"/>
      <c r="J16" s="73"/>
      <c r="K16" s="75"/>
      <c r="L16" s="119"/>
      <c r="M16" s="73"/>
      <c r="N16" s="73"/>
      <c r="O16" s="73"/>
      <c r="P16" s="75"/>
    </row>
    <row r="17" spans="1:16" ht="13">
      <c r="A17" s="47">
        <f>Inputs!C4</f>
        <v>1.99475E-2</v>
      </c>
      <c r="B17" s="114"/>
      <c r="C17" s="30"/>
      <c r="D17" s="30"/>
      <c r="E17" s="30"/>
      <c r="F17" s="30"/>
      <c r="G17" s="119"/>
      <c r="H17" s="73"/>
      <c r="I17" s="73"/>
      <c r="J17" s="73"/>
      <c r="K17" s="75"/>
      <c r="L17" s="119"/>
      <c r="M17" s="73"/>
      <c r="N17" s="73"/>
      <c r="O17" s="73"/>
      <c r="P17" s="75"/>
    </row>
    <row r="18" spans="1:16" ht="13">
      <c r="A18" s="377"/>
      <c r="B18" s="114"/>
      <c r="C18" s="30"/>
      <c r="D18" s="30"/>
      <c r="E18" s="30"/>
      <c r="F18" s="30"/>
      <c r="G18" s="119"/>
      <c r="H18" s="73"/>
      <c r="I18" s="73"/>
      <c r="J18" s="73"/>
      <c r="K18" s="75"/>
      <c r="L18" s="119"/>
      <c r="M18" s="73"/>
      <c r="N18" s="73"/>
      <c r="O18" s="73"/>
      <c r="P18" s="75"/>
    </row>
    <row r="19" spans="1:16" ht="13">
      <c r="A19" s="378" t="s">
        <v>92</v>
      </c>
      <c r="B19" s="30">
        <f t="shared" ref="B19:C21" si="1">(B8*(1+$A$15)*(1+$A$17))</f>
        <v>618.43995252155162</v>
      </c>
      <c r="C19" s="30">
        <f t="shared" si="1"/>
        <v>2132.4675582882378</v>
      </c>
      <c r="D19" s="30">
        <f t="shared" ref="D19:P19" si="2">(D8*(1+$A$15)*(1+$A$17))</f>
        <v>7250.7073830150257</v>
      </c>
      <c r="E19" s="30">
        <f t="shared" si="2"/>
        <v>12508.93100011883</v>
      </c>
      <c r="F19" s="30">
        <f t="shared" si="2"/>
        <v>3022.3170819671191</v>
      </c>
      <c r="G19" s="114"/>
      <c r="H19" s="30"/>
      <c r="I19" s="30"/>
      <c r="J19" s="30"/>
      <c r="K19" s="40"/>
      <c r="L19" s="114">
        <f t="shared" si="2"/>
        <v>618.43995252155162</v>
      </c>
      <c r="M19" s="30">
        <f t="shared" si="2"/>
        <v>2132.4675582882378</v>
      </c>
      <c r="N19" s="30">
        <f t="shared" si="2"/>
        <v>7250.7073830150257</v>
      </c>
      <c r="O19" s="30">
        <f t="shared" si="2"/>
        <v>12508.93100011883</v>
      </c>
      <c r="P19" s="40">
        <f t="shared" si="2"/>
        <v>3022.3170819671191</v>
      </c>
    </row>
    <row r="20" spans="1:16" ht="13">
      <c r="A20" s="378" t="s">
        <v>51</v>
      </c>
      <c r="B20" s="30">
        <f t="shared" si="1"/>
        <v>344.98853419591808</v>
      </c>
      <c r="C20" s="30">
        <f t="shared" si="1"/>
        <v>506.46559724824976</v>
      </c>
      <c r="D20" s="30">
        <f t="shared" ref="D20:P20" si="3">(D9*(1+$A$15)*(1+$A$17))</f>
        <v>625.28455610662479</v>
      </c>
      <c r="E20" s="30">
        <f t="shared" si="3"/>
        <v>1519.5513882029625</v>
      </c>
      <c r="F20" s="30">
        <f t="shared" si="3"/>
        <v>519.69637119580727</v>
      </c>
      <c r="G20" s="114"/>
      <c r="H20" s="30"/>
      <c r="I20" s="30"/>
      <c r="J20" s="30"/>
      <c r="K20" s="40"/>
      <c r="L20" s="114">
        <f t="shared" si="3"/>
        <v>344.98853419591808</v>
      </c>
      <c r="M20" s="30">
        <f t="shared" si="3"/>
        <v>506.46559724824976</v>
      </c>
      <c r="N20" s="30">
        <f t="shared" si="3"/>
        <v>625.28455610662479</v>
      </c>
      <c r="O20" s="30">
        <f t="shared" si="3"/>
        <v>1519.5513882029625</v>
      </c>
      <c r="P20" s="40">
        <f t="shared" si="3"/>
        <v>519.69637119580727</v>
      </c>
    </row>
    <row r="21" spans="1:16" ht="13">
      <c r="A21" s="378" t="s">
        <v>52</v>
      </c>
      <c r="B21" s="30">
        <f t="shared" si="1"/>
        <v>276.73394641888729</v>
      </c>
      <c r="C21" s="30">
        <f t="shared" si="1"/>
        <v>289.78119684162118</v>
      </c>
      <c r="D21" s="30">
        <f t="shared" ref="D21:P21" si="4">(D10*(1+$A$15)*(1+$A$17))</f>
        <v>282.81973308924779</v>
      </c>
      <c r="E21" s="30">
        <f t="shared" si="4"/>
        <v>481.2906158981408</v>
      </c>
      <c r="F21" s="30">
        <f t="shared" si="4"/>
        <v>291.02496735472744</v>
      </c>
      <c r="G21" s="114"/>
      <c r="H21" s="30"/>
      <c r="I21" s="30"/>
      <c r="J21" s="30"/>
      <c r="K21" s="40"/>
      <c r="L21" s="114">
        <f t="shared" si="4"/>
        <v>276.73394641888729</v>
      </c>
      <c r="M21" s="30">
        <f t="shared" si="4"/>
        <v>289.78119684162118</v>
      </c>
      <c r="N21" s="30">
        <f t="shared" si="4"/>
        <v>282.81973308924779</v>
      </c>
      <c r="O21" s="30">
        <f t="shared" si="4"/>
        <v>481.2906158981408</v>
      </c>
      <c r="P21" s="40">
        <f t="shared" si="4"/>
        <v>291.02496735472744</v>
      </c>
    </row>
    <row r="22" spans="1:16" ht="13">
      <c r="A22" s="377"/>
      <c r="B22" s="114"/>
      <c r="C22" s="30"/>
      <c r="D22" s="30"/>
      <c r="E22" s="30"/>
      <c r="F22" s="30"/>
      <c r="G22" s="119"/>
      <c r="H22" s="73"/>
      <c r="I22" s="73"/>
      <c r="J22" s="73"/>
      <c r="K22" s="75"/>
      <c r="L22" s="119"/>
      <c r="M22" s="73"/>
      <c r="N22" s="73"/>
      <c r="O22" s="73"/>
      <c r="P22" s="75"/>
    </row>
    <row r="23" spans="1:16" ht="13">
      <c r="A23" s="117" t="s">
        <v>35</v>
      </c>
      <c r="B23" s="114">
        <f t="shared" ref="B23:P23" si="5">SUM(B19:B21)</f>
        <v>1240.1624331363569</v>
      </c>
      <c r="C23" s="30">
        <f t="shared" si="5"/>
        <v>2928.7143523781087</v>
      </c>
      <c r="D23" s="30">
        <f t="shared" si="5"/>
        <v>8158.8116722108989</v>
      </c>
      <c r="E23" s="30">
        <f t="shared" si="5"/>
        <v>14509.773004219933</v>
      </c>
      <c r="F23" s="30">
        <f t="shared" si="5"/>
        <v>3833.0384205176538</v>
      </c>
      <c r="G23" s="119"/>
      <c r="H23" s="73"/>
      <c r="I23" s="73"/>
      <c r="J23" s="73"/>
      <c r="K23" s="75"/>
      <c r="L23" s="119">
        <f t="shared" si="5"/>
        <v>1240.1624331363569</v>
      </c>
      <c r="M23" s="73">
        <f t="shared" si="5"/>
        <v>2928.7143523781087</v>
      </c>
      <c r="N23" s="73">
        <f t="shared" si="5"/>
        <v>8158.8116722108989</v>
      </c>
      <c r="O23" s="73">
        <f t="shared" si="5"/>
        <v>14509.773004219933</v>
      </c>
      <c r="P23" s="75">
        <f t="shared" si="5"/>
        <v>3833.0384205176538</v>
      </c>
    </row>
    <row r="24" spans="1:16" ht="13">
      <c r="A24" s="376"/>
      <c r="B24" s="38"/>
      <c r="C24" s="68"/>
      <c r="D24" s="68"/>
      <c r="E24" s="68"/>
      <c r="F24" s="68"/>
      <c r="G24" s="531"/>
      <c r="H24" s="530"/>
      <c r="I24" s="530"/>
      <c r="J24" s="530"/>
      <c r="K24" s="532"/>
      <c r="L24" s="531"/>
      <c r="M24" s="530"/>
      <c r="N24" s="530"/>
      <c r="O24" s="530"/>
      <c r="P24" s="532"/>
    </row>
    <row r="25" spans="1:16" ht="13">
      <c r="A25" s="378" t="str">
        <f>'Resid TSM Sum by Rate Schedule'!A25</f>
        <v>Annualized Transformer Cost at 8.05%</v>
      </c>
      <c r="B25" s="119">
        <f>B19*Inputs!$C$5</f>
        <v>49.771220236234036</v>
      </c>
      <c r="C25" s="73">
        <f>C19*Inputs!$C$5</f>
        <v>171.61813698717901</v>
      </c>
      <c r="D25" s="73">
        <f>D19*Inputs!$C$5</f>
        <v>583.52723260703806</v>
      </c>
      <c r="E25" s="73">
        <f>E19*Inputs!$C$5</f>
        <v>1006.7020366137706</v>
      </c>
      <c r="F25" s="73">
        <f>F19*Inputs!$C$5</f>
        <v>243.2320365089538</v>
      </c>
      <c r="G25" s="119"/>
      <c r="H25" s="73"/>
      <c r="I25" s="73"/>
      <c r="J25" s="73"/>
      <c r="K25" s="75"/>
      <c r="L25" s="119">
        <f>L19*Inputs!$C$5</f>
        <v>49.771220236234036</v>
      </c>
      <c r="M25" s="73">
        <f>M19*Inputs!$C$5</f>
        <v>171.61813698717901</v>
      </c>
      <c r="N25" s="73">
        <f>N19*Inputs!$C$5</f>
        <v>583.52723260703806</v>
      </c>
      <c r="O25" s="73">
        <f>O19*Inputs!$C$5</f>
        <v>1006.7020366137706</v>
      </c>
      <c r="P25" s="75">
        <f>P19*Inputs!$C$5</f>
        <v>243.2320365089538</v>
      </c>
    </row>
    <row r="26" spans="1:16" ht="13">
      <c r="A26" s="378" t="str">
        <f>'Resid TSM Sum by Rate Schedule'!A26</f>
        <v>Annualized Services Cost at 7.08%</v>
      </c>
      <c r="B26" s="119">
        <f>B20*Inputs!$C$6</f>
        <v>24.416584186927281</v>
      </c>
      <c r="C26" s="73">
        <f>C20*Inputs!$C$6</f>
        <v>35.845133003671322</v>
      </c>
      <c r="D26" s="73">
        <f>D20*Inputs!$C$6</f>
        <v>44.254551939087321</v>
      </c>
      <c r="E26" s="73">
        <f>E20*Inputs!$C$6</f>
        <v>107.54634058461079</v>
      </c>
      <c r="F26" s="73">
        <f>F20*Inputs!$C$6</f>
        <v>36.781541822885245</v>
      </c>
      <c r="G26" s="119"/>
      <c r="H26" s="73"/>
      <c r="I26" s="73"/>
      <c r="J26" s="73"/>
      <c r="K26" s="75"/>
      <c r="L26" s="119">
        <f>L20*Inputs!$C$6</f>
        <v>24.416584186927281</v>
      </c>
      <c r="M26" s="73">
        <f>M20*Inputs!$C$6</f>
        <v>35.845133003671322</v>
      </c>
      <c r="N26" s="73">
        <f>N20*Inputs!$C$6</f>
        <v>44.254551939087321</v>
      </c>
      <c r="O26" s="73">
        <f>O20*Inputs!$C$6</f>
        <v>107.54634058461079</v>
      </c>
      <c r="P26" s="75">
        <f>P20*Inputs!$C$6</f>
        <v>36.781541822885245</v>
      </c>
    </row>
    <row r="27" spans="1:16" ht="16">
      <c r="A27" s="378" t="str">
        <f>'Resid TSM Sum by Rate Schedule'!A27</f>
        <v>Annualized Meter Cost at 10.78%</v>
      </c>
      <c r="B27" s="459">
        <f>B21*Inputs!$C$7</f>
        <v>29.822634819205323</v>
      </c>
      <c r="C27" s="458">
        <f>C21*Inputs!$C$7</f>
        <v>31.228690670997846</v>
      </c>
      <c r="D27" s="458">
        <f>D21*Inputs!$C$7</f>
        <v>30.478478440150273</v>
      </c>
      <c r="E27" s="458">
        <f>E21*Inputs!$C$7</f>
        <v>51.866980779128014</v>
      </c>
      <c r="F27" s="458">
        <f>F21*Inputs!$C$7</f>
        <v>31.362727402997169</v>
      </c>
      <c r="G27" s="459"/>
      <c r="H27" s="458"/>
      <c r="I27" s="458"/>
      <c r="J27" s="458"/>
      <c r="K27" s="457"/>
      <c r="L27" s="459">
        <f>L21*Inputs!$C$7</f>
        <v>29.822634819205323</v>
      </c>
      <c r="M27" s="458">
        <f>M21*Inputs!$C$7</f>
        <v>31.228690670997846</v>
      </c>
      <c r="N27" s="458">
        <f>N21*Inputs!$C$7</f>
        <v>30.478478440150273</v>
      </c>
      <c r="O27" s="458">
        <f>O21*Inputs!$C$7</f>
        <v>51.866980779128014</v>
      </c>
      <c r="P27" s="457">
        <f>P21*Inputs!$C$7</f>
        <v>31.362727402997169</v>
      </c>
    </row>
    <row r="28" spans="1:16" ht="13">
      <c r="A28" s="453" t="s">
        <v>275</v>
      </c>
      <c r="B28" s="461">
        <f t="shared" ref="B28:P28" si="6">SUM(B25:B27)</f>
        <v>104.01043924236663</v>
      </c>
      <c r="C28" s="460">
        <f t="shared" si="6"/>
        <v>238.69196066184819</v>
      </c>
      <c r="D28" s="460">
        <f t="shared" si="6"/>
        <v>658.26026298627573</v>
      </c>
      <c r="E28" s="460">
        <f t="shared" si="6"/>
        <v>1166.1153579775093</v>
      </c>
      <c r="F28" s="460">
        <f t="shared" si="6"/>
        <v>311.37630573483619</v>
      </c>
      <c r="G28" s="461"/>
      <c r="H28" s="460"/>
      <c r="I28" s="460"/>
      <c r="J28" s="460"/>
      <c r="K28" s="462"/>
      <c r="L28" s="461">
        <f t="shared" si="6"/>
        <v>104.01043924236663</v>
      </c>
      <c r="M28" s="460">
        <f t="shared" si="6"/>
        <v>238.69196066184819</v>
      </c>
      <c r="N28" s="460">
        <f t="shared" si="6"/>
        <v>658.26026298627573</v>
      </c>
      <c r="O28" s="460">
        <f t="shared" si="6"/>
        <v>1166.1153579775093</v>
      </c>
      <c r="P28" s="462">
        <f t="shared" si="6"/>
        <v>311.37630573483619</v>
      </c>
    </row>
    <row r="29" spans="1:16" ht="13">
      <c r="A29" s="377"/>
      <c r="B29" s="47"/>
      <c r="C29" s="69"/>
      <c r="D29" s="69"/>
      <c r="E29" s="69"/>
      <c r="F29" s="69"/>
      <c r="G29" s="534"/>
      <c r="H29" s="533"/>
      <c r="I29" s="533"/>
      <c r="J29" s="533"/>
      <c r="K29" s="535"/>
      <c r="L29" s="534"/>
      <c r="M29" s="533"/>
      <c r="N29" s="533"/>
      <c r="O29" s="533"/>
      <c r="P29" s="535"/>
    </row>
    <row r="30" spans="1:16" ht="13">
      <c r="A30" s="117" t="s">
        <v>50</v>
      </c>
      <c r="B30" s="111">
        <f>('Sch TOU-A TSM Summary'!B31*'Sm Comm Cust Fcst'!$F$42+'Sch TOU-M TSM Summary'!B31*'Sm Comm Cust Fcst'!$T$42)/'Sm Comm Cust Fcst'!$AH$42</f>
        <v>39.467809072334909</v>
      </c>
      <c r="C30" s="33">
        <f>('Sch TOU-A TSM Summary'!C31*'Sm Comm Cust Fcst'!$F$43+'Sch TOU-M TSM Summary'!C31*'Sm Comm Cust Fcst'!$T$43)/'Sm Comm Cust Fcst'!$AH$43</f>
        <v>39.467809072334909</v>
      </c>
      <c r="D30" s="33">
        <f>('Sch TOU-A TSM Summary'!D31*'Sm Comm Cust Fcst'!$F$44+'Sch TOU-M TSM Summary'!D31*'Sm Comm Cust Fcst'!$T$44)/'Sm Comm Cust Fcst'!$AH$44</f>
        <v>40.508478700177278</v>
      </c>
      <c r="E30" s="33">
        <f>('Sch TOU-A TSM Summary'!E31*'Sm Comm Cust Fcst'!$F$45+'Sch TOU-M TSM Summary'!E31*'Sm Comm Cust Fcst'!$T$45)/'Sm Comm Cust Fcst'!$AH$45</f>
        <v>39.467809072334909</v>
      </c>
      <c r="F30" s="33">
        <f>('Sch TOU-A TSM Summary'!F31*'Sm Comm Cust Fcst'!$F$41+'Sch TOU-M TSM Summary'!F31*'Sm Comm Cust Fcst'!$T$41)/'Sm Comm Cust Fcst'!$AH$41</f>
        <v>39.660106720957955</v>
      </c>
      <c r="G30" s="111"/>
      <c r="H30" s="33"/>
      <c r="I30" s="33"/>
      <c r="J30" s="33"/>
      <c r="K30" s="34"/>
      <c r="L30" s="111">
        <f>('Sch TOU-A TSM Summary'!L31*'Sm Comm Cust Fcst'!$H$42+'Sch TOU-M TSM Summary'!L31*'Sm Comm Cust Fcst'!$V$42)/'Sm Comm Cust Fcst'!$AJ$42</f>
        <v>39.467809072334909</v>
      </c>
      <c r="M30" s="33">
        <f>('Sch TOU-A TSM Summary'!M31*'Sm Comm Cust Fcst'!$H$43+'Sch TOU-M TSM Summary'!M31*'Sm Comm Cust Fcst'!$V$43)/'Sm Comm Cust Fcst'!$AJ$43</f>
        <v>39.467809072334909</v>
      </c>
      <c r="N30" s="33">
        <f>('Sch TOU-A TSM Summary'!N31*'Sm Comm Cust Fcst'!$H$44+'Sch TOU-M TSM Summary'!N31*'Sm Comm Cust Fcst'!$V$44)/'Sm Comm Cust Fcst'!$AJ$44</f>
        <v>40.508478700177278</v>
      </c>
      <c r="O30" s="33">
        <f>('Sch TOU-A TSM Summary'!O31*'Sm Comm Cust Fcst'!$H$45+'Sch TOU-M TSM Summary'!O31*'Sm Comm Cust Fcst'!$V$45)/'Sm Comm Cust Fcst'!$AJ$45</f>
        <v>39.467809072334909</v>
      </c>
      <c r="P30" s="34">
        <f>('Sch TOU-A TSM Summary'!P31*'Sm Comm Cust Fcst'!$H$41+'Sch TOU-M TSM Summary'!P31*'Sm Comm Cust Fcst'!$V$41)/'Sm Comm Cust Fcst'!$AJ$41</f>
        <v>39.660106720957955</v>
      </c>
    </row>
    <row r="31" spans="1:16">
      <c r="A31" s="118"/>
      <c r="B31" s="11"/>
      <c r="C31" s="12"/>
      <c r="D31" s="12"/>
      <c r="E31" s="12"/>
      <c r="F31" s="12"/>
      <c r="G31" s="102"/>
      <c r="H31" s="89"/>
      <c r="I31" s="89"/>
      <c r="J31" s="89"/>
      <c r="K31" s="438"/>
      <c r="L31" s="102"/>
      <c r="M31" s="89"/>
      <c r="N31" s="89"/>
      <c r="O31" s="89"/>
      <c r="P31" s="438"/>
    </row>
    <row r="32" spans="1:16" ht="13">
      <c r="A32" s="117" t="s">
        <v>57</v>
      </c>
      <c r="B32" s="111">
        <f>('Sch TOU-A TSM Summary'!B33*'Sm Comm Cust Fcst'!$F$42+'Sch TOU-M TSM Summary'!B33*'Sm Comm Cust Fcst'!$T$42)/'Sm Comm Cust Fcst'!$AH$42</f>
        <v>52.536506967829752</v>
      </c>
      <c r="C32" s="33">
        <f>('Sch TOU-A TSM Summary'!C33*'Sm Comm Cust Fcst'!$F$43+'Sch TOU-M TSM Summary'!C33*'Sm Comm Cust Fcst'!$T$43)/'Sm Comm Cust Fcst'!$AH$43</f>
        <v>52.536506967829752</v>
      </c>
      <c r="D32" s="33">
        <f>('Sch TOU-A TSM Summary'!D33*'Sm Comm Cust Fcst'!$F$44+'Sch TOU-M TSM Summary'!D33*'Sm Comm Cust Fcst'!$T$44)/'Sm Comm Cust Fcst'!$AH$44</f>
        <v>52.536506967829752</v>
      </c>
      <c r="E32" s="33">
        <f>('Sch TOU-A TSM Summary'!E33*'Sm Comm Cust Fcst'!$F$45+'Sch TOU-M TSM Summary'!E33*'Sm Comm Cust Fcst'!$T$45)/'Sm Comm Cust Fcst'!$AH$45</f>
        <v>52.536506967829752</v>
      </c>
      <c r="F32" s="33">
        <f>('Sch TOU-A TSM Summary'!F33*'Sm Comm Cust Fcst'!$F$41+'Sch TOU-M TSM Summary'!F33*'Sm Comm Cust Fcst'!$T$41)/'Sm Comm Cust Fcst'!$AH$41</f>
        <v>52.536506967829744</v>
      </c>
      <c r="G32" s="111"/>
      <c r="H32" s="33"/>
      <c r="I32" s="33"/>
      <c r="J32" s="33"/>
      <c r="K32" s="34"/>
      <c r="L32" s="111">
        <f>('Sch TOU-A TSM Summary'!L33*'Sm Comm Cust Fcst'!$H$42+'Sch TOU-M TSM Summary'!L33*'Sm Comm Cust Fcst'!$V$42)/'Sm Comm Cust Fcst'!$AJ$42</f>
        <v>52.536506967829752</v>
      </c>
      <c r="M32" s="33">
        <f>('Sch TOU-A TSM Summary'!M33*'Sm Comm Cust Fcst'!$H$43+'Sch TOU-M TSM Summary'!M33*'Sm Comm Cust Fcst'!$V$43)/'Sm Comm Cust Fcst'!$AJ$43</f>
        <v>52.536506967829752</v>
      </c>
      <c r="N32" s="33">
        <f>('Sch TOU-A TSM Summary'!N33*'Sm Comm Cust Fcst'!$H$44+'Sch TOU-M TSM Summary'!N33*'Sm Comm Cust Fcst'!$V$44)/'Sm Comm Cust Fcst'!$AJ$44</f>
        <v>52.536506967829752</v>
      </c>
      <c r="O32" s="33">
        <f>('Sch TOU-A TSM Summary'!O33*'Sm Comm Cust Fcst'!$H$45+'Sch TOU-M TSM Summary'!O33*'Sm Comm Cust Fcst'!$V$45)/'Sm Comm Cust Fcst'!$AJ$45</f>
        <v>52.536506967829752</v>
      </c>
      <c r="P32" s="34">
        <f>('Sch TOU-A TSM Summary'!P33*'Sm Comm Cust Fcst'!$H$41+'Sch TOU-M TSM Summary'!P33*'Sm Comm Cust Fcst'!$V$41)/'Sm Comm Cust Fcst'!$AJ$41</f>
        <v>52.536506967829744</v>
      </c>
    </row>
    <row r="33" spans="1:16">
      <c r="A33" s="118"/>
      <c r="B33" s="11"/>
      <c r="C33" s="12"/>
      <c r="D33" s="12"/>
      <c r="E33" s="12"/>
      <c r="F33" s="12"/>
      <c r="G33" s="102"/>
      <c r="H33" s="89"/>
      <c r="I33" s="89"/>
      <c r="J33" s="89"/>
      <c r="K33" s="438"/>
      <c r="L33" s="102"/>
      <c r="M33" s="89"/>
      <c r="N33" s="89"/>
      <c r="O33" s="89"/>
      <c r="P33" s="438"/>
    </row>
    <row r="34" spans="1:16" ht="13.5" thickBot="1">
      <c r="A34" s="454" t="s">
        <v>83</v>
      </c>
      <c r="B34" s="285">
        <f t="shared" ref="B34:P34" si="7">B28+B30+B32</f>
        <v>196.0147552825313</v>
      </c>
      <c r="C34" s="286">
        <f t="shared" si="7"/>
        <v>330.69627670201282</v>
      </c>
      <c r="D34" s="286">
        <f t="shared" si="7"/>
        <v>751.30524865428276</v>
      </c>
      <c r="E34" s="286">
        <f t="shared" si="7"/>
        <v>1258.119674017674</v>
      </c>
      <c r="F34" s="286">
        <f t="shared" si="7"/>
        <v>403.57291942362389</v>
      </c>
      <c r="G34" s="537"/>
      <c r="H34" s="536"/>
      <c r="I34" s="536"/>
      <c r="J34" s="536"/>
      <c r="K34" s="538"/>
      <c r="L34" s="537">
        <f t="shared" si="7"/>
        <v>196.0147552825313</v>
      </c>
      <c r="M34" s="536">
        <f t="shared" si="7"/>
        <v>330.69627670201282</v>
      </c>
      <c r="N34" s="536">
        <f t="shared" si="7"/>
        <v>751.30524865428276</v>
      </c>
      <c r="O34" s="536">
        <f t="shared" si="7"/>
        <v>1258.119674017674</v>
      </c>
      <c r="P34" s="538">
        <f t="shared" si="7"/>
        <v>403.57291942362389</v>
      </c>
    </row>
    <row r="35" spans="1:16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</row>
    <row r="37" spans="1:16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6" spans="1:16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58" spans="1:1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75">
    <tabColor rgb="FF00642D"/>
    <pageSetUpPr fitToPage="1"/>
  </sheetPr>
  <dimension ref="A1:S60"/>
  <sheetViews>
    <sheetView zoomScaleNormal="100" workbookViewId="0">
      <selection activeCell="J24" sqref="J24"/>
    </sheetView>
  </sheetViews>
  <sheetFormatPr defaultRowHeight="12.5"/>
  <cols>
    <col min="1" max="1" width="41.1796875" customWidth="1"/>
    <col min="2" max="11" width="11.1796875" customWidth="1"/>
    <col min="12" max="12" width="9.1796875" bestFit="1" customWidth="1"/>
    <col min="13" max="15" width="10.26953125" bestFit="1" customWidth="1"/>
    <col min="16" max="16" width="9.1796875" bestFit="1" customWidth="1"/>
  </cols>
  <sheetData>
    <row r="1" spans="1:19" ht="18.5" thickBot="1">
      <c r="A1" s="735" t="s">
        <v>323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9" ht="13.5" thickBot="1">
      <c r="A2" s="103"/>
      <c r="B2" s="736" t="s">
        <v>0</v>
      </c>
      <c r="C2" s="737"/>
      <c r="D2" s="737"/>
      <c r="E2" s="737"/>
      <c r="F2" s="737"/>
      <c r="G2" s="736" t="s">
        <v>1</v>
      </c>
      <c r="H2" s="737"/>
      <c r="I2" s="737"/>
      <c r="J2" s="737"/>
      <c r="K2" s="738"/>
      <c r="L2" s="736" t="s">
        <v>192</v>
      </c>
      <c r="M2" s="737"/>
      <c r="N2" s="737"/>
      <c r="O2" s="737"/>
      <c r="P2" s="738"/>
    </row>
    <row r="3" spans="1:19" ht="13.5" thickBot="1">
      <c r="A3" s="77" t="s">
        <v>47</v>
      </c>
      <c r="B3" s="345" t="s">
        <v>87</v>
      </c>
      <c r="C3" s="346" t="s">
        <v>109</v>
      </c>
      <c r="D3" s="346" t="s">
        <v>110</v>
      </c>
      <c r="E3" s="346" t="s">
        <v>111</v>
      </c>
      <c r="F3" s="449" t="s">
        <v>128</v>
      </c>
      <c r="G3" s="342" t="s">
        <v>87</v>
      </c>
      <c r="H3" s="343" t="s">
        <v>109</v>
      </c>
      <c r="I3" s="343" t="s">
        <v>110</v>
      </c>
      <c r="J3" s="343" t="s">
        <v>111</v>
      </c>
      <c r="K3" s="344" t="s">
        <v>129</v>
      </c>
      <c r="L3" s="342" t="s">
        <v>87</v>
      </c>
      <c r="M3" s="343" t="s">
        <v>109</v>
      </c>
      <c r="N3" s="343" t="s">
        <v>110</v>
      </c>
      <c r="O3" s="343" t="s">
        <v>111</v>
      </c>
      <c r="P3" s="344" t="s">
        <v>2</v>
      </c>
    </row>
    <row r="4" spans="1:19" ht="13">
      <c r="A4" s="453"/>
      <c r="B4" s="35"/>
      <c r="C4" s="146"/>
      <c r="D4" s="146"/>
      <c r="E4" s="146"/>
      <c r="F4" s="146"/>
      <c r="G4" s="35"/>
      <c r="H4" s="146"/>
      <c r="I4" s="146"/>
      <c r="J4" s="146"/>
      <c r="K4" s="281"/>
      <c r="L4" s="35"/>
      <c r="M4" s="146"/>
      <c r="N4" s="146"/>
      <c r="O4" s="146"/>
      <c r="P4" s="281"/>
    </row>
    <row r="5" spans="1:19" ht="13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9" ht="13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9" ht="13">
      <c r="A7" s="375"/>
      <c r="B7" s="37"/>
      <c r="C7" s="67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9" ht="13">
      <c r="A8" s="117" t="s">
        <v>53</v>
      </c>
      <c r="B8" s="111">
        <f>'Sm Comm TSM Summary'!B8*Inputs!$C$12</f>
        <v>639.36915147353295</v>
      </c>
      <c r="C8" s="33">
        <f>'Sm Comm TSM Summary'!C8*Inputs!$C$12</f>
        <v>2204.6343670529172</v>
      </c>
      <c r="D8" s="33">
        <f>'Sm Comm TSM Summary'!D8*Inputs!$C$12</f>
        <v>7496.0852838815317</v>
      </c>
      <c r="E8" s="33">
        <f>'Sm Comm TSM Summary'!E8*Inputs!$C$12</f>
        <v>12932.257314194518</v>
      </c>
      <c r="F8" s="33">
        <f>'Sm Comm TSM Summary'!F8*Inputs!$C$12</f>
        <v>3124.5981122378093</v>
      </c>
      <c r="G8" s="111"/>
      <c r="H8" s="33"/>
      <c r="I8" s="33"/>
      <c r="J8" s="33"/>
      <c r="K8" s="34"/>
      <c r="L8" s="111">
        <f>'Sm Comm TSM Summary'!L8*Inputs!$C$12</f>
        <v>639.36915147353295</v>
      </c>
      <c r="M8" s="33">
        <f>'Sm Comm TSM Summary'!M8*Inputs!$C$12</f>
        <v>2204.6343670529172</v>
      </c>
      <c r="N8" s="33">
        <f>'Sm Comm TSM Summary'!N8*Inputs!$C$12</f>
        <v>7496.0852838815317</v>
      </c>
      <c r="O8" s="33">
        <f>'Sm Comm TSM Summary'!O8*Inputs!$C$12</f>
        <v>12932.257314194518</v>
      </c>
      <c r="P8" s="34">
        <f>'Sm Comm TSM Summary'!P8*Inputs!$C$12</f>
        <v>3124.5981122378093</v>
      </c>
      <c r="R8" s="392"/>
      <c r="S8" s="392"/>
    </row>
    <row r="9" spans="1:19" ht="13">
      <c r="A9" s="117" t="s">
        <v>51</v>
      </c>
      <c r="B9" s="111">
        <f>'Sm Comm TSM Summary'!B9*Inputs!$C$12</f>
        <v>356.66361055361369</v>
      </c>
      <c r="C9" s="33">
        <f>'Sm Comm TSM Summary'!C9*Inputs!$C$12</f>
        <v>523.60536838354562</v>
      </c>
      <c r="D9" s="33">
        <f>'Sm Comm TSM Summary'!D9*Inputs!$C$12</f>
        <v>646.44538962489719</v>
      </c>
      <c r="E9" s="33">
        <f>'Sm Comm TSM Summary'!E9*Inputs!$C$12</f>
        <v>1570.9759334507096</v>
      </c>
      <c r="F9" s="33">
        <f>'Sm Comm TSM Summary'!F9*Inputs!$C$12</f>
        <v>537.28389720060682</v>
      </c>
      <c r="G9" s="111"/>
      <c r="H9" s="33"/>
      <c r="I9" s="33"/>
      <c r="J9" s="33"/>
      <c r="K9" s="34"/>
      <c r="L9" s="111">
        <f>'Sm Comm TSM Summary'!L9*Inputs!$C$12</f>
        <v>356.66361055361369</v>
      </c>
      <c r="M9" s="33">
        <f>'Sm Comm TSM Summary'!M9*Inputs!$C$12</f>
        <v>523.60536838354562</v>
      </c>
      <c r="N9" s="33">
        <f>'Sm Comm TSM Summary'!N9*Inputs!$C$12</f>
        <v>646.44538962489719</v>
      </c>
      <c r="O9" s="33">
        <f>'Sm Comm TSM Summary'!O9*Inputs!$C$12</f>
        <v>1570.9759334507096</v>
      </c>
      <c r="P9" s="34">
        <f>'Sm Comm TSM Summary'!P9*Inputs!$C$12</f>
        <v>537.28389720060682</v>
      </c>
      <c r="R9" s="392"/>
      <c r="S9" s="392"/>
    </row>
    <row r="10" spans="1:19" ht="13">
      <c r="A10" s="117" t="s">
        <v>52</v>
      </c>
      <c r="B10" s="111">
        <f>'Sm Comm TSM Summary'!B10*Inputs!$C$12</f>
        <v>286.09915608516604</v>
      </c>
      <c r="C10" s="33">
        <f>'Sm Comm TSM Summary'!C10*Inputs!$C$12</f>
        <v>299.58795058790378</v>
      </c>
      <c r="D10" s="33">
        <f>'Sm Comm TSM Summary'!D10*Inputs!$C$12</f>
        <v>292.3908974961347</v>
      </c>
      <c r="E10" s="33">
        <f>'Sm Comm TSM Summary'!E10*Inputs!$C$12</f>
        <v>497.57841718391353</v>
      </c>
      <c r="F10" s="33">
        <f>'Sm Comm TSM Summary'!F10*Inputs!$C$12</f>
        <v>300.87381269036035</v>
      </c>
      <c r="G10" s="111"/>
      <c r="H10" s="33"/>
      <c r="I10" s="33"/>
      <c r="J10" s="33"/>
      <c r="K10" s="34"/>
      <c r="L10" s="111">
        <f>'Sm Comm TSM Summary'!L10*Inputs!$C$12</f>
        <v>286.09915608516604</v>
      </c>
      <c r="M10" s="33">
        <f>'Sm Comm TSM Summary'!M10*Inputs!$C$12</f>
        <v>299.58795058790378</v>
      </c>
      <c r="N10" s="33">
        <f>'Sm Comm TSM Summary'!N10*Inputs!$C$12</f>
        <v>292.3908974961347</v>
      </c>
      <c r="O10" s="33">
        <f>'Sm Comm TSM Summary'!O10*Inputs!$C$12</f>
        <v>497.57841718391353</v>
      </c>
      <c r="P10" s="34">
        <f>'Sm Comm TSM Summary'!P10*Inputs!$C$12</f>
        <v>300.87381269036035</v>
      </c>
      <c r="R10" s="392"/>
      <c r="S10" s="392"/>
    </row>
    <row r="11" spans="1:19" ht="13">
      <c r="A11" s="376"/>
      <c r="B11" s="38"/>
      <c r="C11" s="68"/>
      <c r="D11" s="68"/>
      <c r="E11" s="68"/>
      <c r="F11" s="68"/>
      <c r="G11" s="38"/>
      <c r="H11" s="68"/>
      <c r="I11" s="68"/>
      <c r="J11" s="68"/>
      <c r="K11" s="283"/>
      <c r="L11" s="38"/>
      <c r="M11" s="68"/>
      <c r="N11" s="68"/>
      <c r="O11" s="68"/>
      <c r="P11" s="283"/>
      <c r="R11" s="392"/>
      <c r="S11" s="392"/>
    </row>
    <row r="12" spans="1:19" ht="13">
      <c r="A12" s="117" t="s">
        <v>35</v>
      </c>
      <c r="B12" s="114">
        <f t="shared" ref="B12:P12" si="0">SUM(B8:B10)</f>
        <v>1282.1319181123126</v>
      </c>
      <c r="C12" s="30">
        <f t="shared" si="0"/>
        <v>3027.8276860243668</v>
      </c>
      <c r="D12" s="30">
        <f t="shared" si="0"/>
        <v>8434.9215710025637</v>
      </c>
      <c r="E12" s="30">
        <f t="shared" si="0"/>
        <v>15000.81166482914</v>
      </c>
      <c r="F12" s="30">
        <f t="shared" si="0"/>
        <v>3962.7558221287768</v>
      </c>
      <c r="G12" s="114"/>
      <c r="H12" s="30"/>
      <c r="I12" s="30"/>
      <c r="J12" s="30"/>
      <c r="K12" s="40"/>
      <c r="L12" s="114">
        <f t="shared" si="0"/>
        <v>1282.1319181123126</v>
      </c>
      <c r="M12" s="30">
        <f t="shared" si="0"/>
        <v>3027.8276860243668</v>
      </c>
      <c r="N12" s="30">
        <f t="shared" si="0"/>
        <v>8434.9215710025637</v>
      </c>
      <c r="O12" s="30">
        <f t="shared" si="0"/>
        <v>15000.81166482914</v>
      </c>
      <c r="P12" s="40">
        <f t="shared" si="0"/>
        <v>3962.7558221287768</v>
      </c>
      <c r="R12" s="392"/>
      <c r="S12" s="392"/>
    </row>
    <row r="13" spans="1:19" ht="13">
      <c r="A13" s="376"/>
      <c r="B13" s="38"/>
      <c r="C13" s="68"/>
      <c r="D13" s="68"/>
      <c r="E13" s="68"/>
      <c r="F13" s="68"/>
      <c r="G13" s="38"/>
      <c r="H13" s="68"/>
      <c r="I13" s="68"/>
      <c r="J13" s="68"/>
      <c r="K13" s="283"/>
      <c r="L13" s="38"/>
      <c r="M13" s="68"/>
      <c r="N13" s="68"/>
      <c r="O13" s="68"/>
      <c r="P13" s="283"/>
    </row>
    <row r="14" spans="1:19" ht="13">
      <c r="A14" s="117" t="s">
        <v>61</v>
      </c>
      <c r="B14" s="114"/>
      <c r="C14" s="30"/>
      <c r="D14" s="30"/>
      <c r="E14" s="30"/>
      <c r="F14" s="30"/>
      <c r="G14" s="114"/>
      <c r="H14" s="30"/>
      <c r="I14" s="30"/>
      <c r="J14" s="30"/>
      <c r="K14" s="40"/>
      <c r="L14" s="114"/>
      <c r="M14" s="30"/>
      <c r="N14" s="30"/>
      <c r="O14" s="30"/>
      <c r="P14" s="40"/>
    </row>
    <row r="15" spans="1:19" ht="13">
      <c r="A15" s="377">
        <f>Inputs!C3</f>
        <v>2.9094935671404847E-2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9" ht="13">
      <c r="A16" s="36" t="s">
        <v>60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9" ht="13">
      <c r="A17" s="47">
        <f>Inputs!C4</f>
        <v>1.99475E-2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9" ht="13">
      <c r="A18" s="377"/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9" ht="13">
      <c r="A19" s="378" t="s">
        <v>92</v>
      </c>
      <c r="B19" s="30">
        <f t="shared" ref="B19:P21" si="1">(B8*(1+$A$15)*(1+$A$17))</f>
        <v>671.09644341537501</v>
      </c>
      <c r="C19" s="30">
        <f t="shared" si="1"/>
        <v>2314.0345125358531</v>
      </c>
      <c r="D19" s="30">
        <f t="shared" si="1"/>
        <v>7868.0620764348396</v>
      </c>
      <c r="E19" s="30">
        <f t="shared" si="1"/>
        <v>13573.992221687087</v>
      </c>
      <c r="F19" s="30">
        <f t="shared" si="1"/>
        <v>3279.6494410037099</v>
      </c>
      <c r="G19" s="114"/>
      <c r="H19" s="30"/>
      <c r="I19" s="30"/>
      <c r="J19" s="30"/>
      <c r="K19" s="40"/>
      <c r="L19" s="114">
        <f t="shared" si="1"/>
        <v>671.09644341537501</v>
      </c>
      <c r="M19" s="30">
        <f t="shared" si="1"/>
        <v>2314.0345125358531</v>
      </c>
      <c r="N19" s="30">
        <f t="shared" si="1"/>
        <v>7868.0620764348396</v>
      </c>
      <c r="O19" s="30">
        <f t="shared" si="1"/>
        <v>13573.992221687087</v>
      </c>
      <c r="P19" s="40">
        <f t="shared" si="1"/>
        <v>3279.6494410037099</v>
      </c>
    </row>
    <row r="20" spans="1:19" ht="13">
      <c r="A20" s="378" t="s">
        <v>51</v>
      </c>
      <c r="B20" s="30">
        <f t="shared" si="1"/>
        <v>374.36226002862571</v>
      </c>
      <c r="C20" s="30">
        <f t="shared" si="1"/>
        <v>549.58813647101749</v>
      </c>
      <c r="D20" s="30">
        <f t="shared" si="1"/>
        <v>678.52382436610776</v>
      </c>
      <c r="E20" s="30">
        <f t="shared" si="1"/>
        <v>1648.9321688419971</v>
      </c>
      <c r="F20" s="30">
        <f t="shared" si="1"/>
        <v>563.94543228225348</v>
      </c>
      <c r="G20" s="114"/>
      <c r="H20" s="30"/>
      <c r="I20" s="30"/>
      <c r="J20" s="30"/>
      <c r="K20" s="40"/>
      <c r="L20" s="114">
        <f t="shared" si="1"/>
        <v>374.36226002862571</v>
      </c>
      <c r="M20" s="30">
        <f t="shared" si="1"/>
        <v>549.58813647101749</v>
      </c>
      <c r="N20" s="30">
        <f t="shared" si="1"/>
        <v>678.52382436610776</v>
      </c>
      <c r="O20" s="30">
        <f t="shared" si="1"/>
        <v>1648.9321688419971</v>
      </c>
      <c r="P20" s="40">
        <f t="shared" si="1"/>
        <v>563.94543228225348</v>
      </c>
    </row>
    <row r="21" spans="1:19" ht="13">
      <c r="A21" s="378" t="s">
        <v>52</v>
      </c>
      <c r="B21" s="30">
        <f t="shared" si="1"/>
        <v>300.29619926203634</v>
      </c>
      <c r="C21" s="30">
        <f t="shared" si="1"/>
        <v>314.45434560970682</v>
      </c>
      <c r="D21" s="30">
        <f t="shared" si="1"/>
        <v>306.90015454211073</v>
      </c>
      <c r="E21" s="30">
        <f t="shared" si="1"/>
        <v>522.26965489779195</v>
      </c>
      <c r="F21" s="30">
        <f t="shared" si="1"/>
        <v>315.80401579897455</v>
      </c>
      <c r="G21" s="114"/>
      <c r="H21" s="30"/>
      <c r="I21" s="30"/>
      <c r="J21" s="30"/>
      <c r="K21" s="40"/>
      <c r="L21" s="114">
        <f t="shared" si="1"/>
        <v>300.29619926203634</v>
      </c>
      <c r="M21" s="30">
        <f t="shared" si="1"/>
        <v>314.45434560970682</v>
      </c>
      <c r="N21" s="30">
        <f t="shared" si="1"/>
        <v>306.90015454211073</v>
      </c>
      <c r="O21" s="30">
        <f t="shared" si="1"/>
        <v>522.26965489779195</v>
      </c>
      <c r="P21" s="40">
        <f t="shared" si="1"/>
        <v>315.80401579897455</v>
      </c>
    </row>
    <row r="22" spans="1:19" ht="13">
      <c r="A22" s="377"/>
      <c r="B22" s="114"/>
      <c r="C22" s="30"/>
      <c r="D22" s="30"/>
      <c r="E22" s="30"/>
      <c r="F22" s="30"/>
      <c r="G22" s="114"/>
      <c r="H22" s="30"/>
      <c r="I22" s="30"/>
      <c r="J22" s="30"/>
      <c r="K22" s="40"/>
      <c r="L22" s="114"/>
      <c r="M22" s="30"/>
      <c r="N22" s="30"/>
      <c r="O22" s="30"/>
      <c r="P22" s="40"/>
    </row>
    <row r="23" spans="1:19" ht="13">
      <c r="A23" s="117" t="s">
        <v>35</v>
      </c>
      <c r="B23" s="114">
        <f t="shared" ref="B23:P23" si="2">SUM(B19:B21)</f>
        <v>1345.7549027060372</v>
      </c>
      <c r="C23" s="30">
        <f t="shared" si="2"/>
        <v>3178.0769946165774</v>
      </c>
      <c r="D23" s="30">
        <f t="shared" si="2"/>
        <v>8853.4860553430572</v>
      </c>
      <c r="E23" s="30">
        <f t="shared" si="2"/>
        <v>15745.194045426877</v>
      </c>
      <c r="F23" s="30">
        <f t="shared" si="2"/>
        <v>4159.3988890849378</v>
      </c>
      <c r="G23" s="114"/>
      <c r="H23" s="30"/>
      <c r="I23" s="30"/>
      <c r="J23" s="30"/>
      <c r="K23" s="40"/>
      <c r="L23" s="114">
        <f t="shared" si="2"/>
        <v>1345.7549027060372</v>
      </c>
      <c r="M23" s="30">
        <f t="shared" si="2"/>
        <v>3178.0769946165774</v>
      </c>
      <c r="N23" s="30">
        <f t="shared" si="2"/>
        <v>8853.4860553430572</v>
      </c>
      <c r="O23" s="30">
        <f t="shared" si="2"/>
        <v>15745.194045426877</v>
      </c>
      <c r="P23" s="40">
        <f t="shared" si="2"/>
        <v>4159.3988890849378</v>
      </c>
    </row>
    <row r="24" spans="1:19" ht="13">
      <c r="A24" s="376"/>
      <c r="B24" s="38"/>
      <c r="C24" s="68"/>
      <c r="D24" s="68"/>
      <c r="E24" s="68"/>
      <c r="F24" s="68"/>
      <c r="G24" s="38"/>
      <c r="H24" s="68"/>
      <c r="I24" s="68"/>
      <c r="J24" s="68"/>
      <c r="K24" s="283"/>
      <c r="L24" s="38"/>
      <c r="M24" s="68"/>
      <c r="N24" s="68"/>
      <c r="O24" s="68"/>
      <c r="P24" s="283"/>
    </row>
    <row r="25" spans="1:19" ht="13">
      <c r="A25" s="378" t="str">
        <f>'Resid TSM Sum by Rate Schedule'!A25</f>
        <v>Annualized Transformer Cost at 8.05%</v>
      </c>
      <c r="B25" s="119">
        <f>B19*Inputs!$C$5</f>
        <v>54.00894419707793</v>
      </c>
      <c r="C25" s="73">
        <f>C19*Inputs!$C$5</f>
        <v>186.23040262531367</v>
      </c>
      <c r="D25" s="73">
        <f>D19*Inputs!$C$5</f>
        <v>633.21111264226181</v>
      </c>
      <c r="E25" s="73">
        <f>E19*Inputs!$C$5</f>
        <v>1092.4167392419113</v>
      </c>
      <c r="F25" s="73">
        <f>F19*Inputs!$C$5</f>
        <v>263.94180059081668</v>
      </c>
      <c r="G25" s="119"/>
      <c r="H25" s="73"/>
      <c r="I25" s="73"/>
      <c r="J25" s="73"/>
      <c r="K25" s="75"/>
      <c r="L25" s="119">
        <f>L19*Inputs!$C$5</f>
        <v>54.00894419707793</v>
      </c>
      <c r="M25" s="73">
        <f>M19*Inputs!$C$5</f>
        <v>186.23040262531367</v>
      </c>
      <c r="N25" s="73">
        <f>N19*Inputs!$C$5</f>
        <v>633.21111264226181</v>
      </c>
      <c r="O25" s="73">
        <f>O19*Inputs!$C$5</f>
        <v>1092.4167392419113</v>
      </c>
      <c r="P25" s="75">
        <f>P19*Inputs!$C$5</f>
        <v>263.94180059081668</v>
      </c>
    </row>
    <row r="26" spans="1:19" ht="13">
      <c r="A26" s="378" t="str">
        <f>'Resid TSM Sum by Rate Schedule'!A26</f>
        <v>Annualized Services Cost at 7.08%</v>
      </c>
      <c r="B26" s="119">
        <f>B20*Inputs!$C$6</f>
        <v>26.495511393449245</v>
      </c>
      <c r="C26" s="73">
        <f>C20*Inputs!$C$6</f>
        <v>38.897133302002516</v>
      </c>
      <c r="D26" s="73">
        <f>D20*Inputs!$C$6</f>
        <v>48.022564341406323</v>
      </c>
      <c r="E26" s="73">
        <f>E20*Inputs!$C$6</f>
        <v>116.70327308964688</v>
      </c>
      <c r="F26" s="73">
        <f>F20*Inputs!$C$6</f>
        <v>39.913271773643956</v>
      </c>
      <c r="G26" s="119"/>
      <c r="H26" s="73"/>
      <c r="I26" s="73"/>
      <c r="J26" s="73"/>
      <c r="K26" s="75"/>
      <c r="L26" s="119">
        <f>L20*Inputs!$C$6</f>
        <v>26.495511393449245</v>
      </c>
      <c r="M26" s="73">
        <f>M20*Inputs!$C$6</f>
        <v>38.897133302002516</v>
      </c>
      <c r="N26" s="73">
        <f>N20*Inputs!$C$6</f>
        <v>48.022564341406323</v>
      </c>
      <c r="O26" s="73">
        <f>O20*Inputs!$C$6</f>
        <v>116.70327308964688</v>
      </c>
      <c r="P26" s="75">
        <f>P20*Inputs!$C$6</f>
        <v>39.913271773643956</v>
      </c>
    </row>
    <row r="27" spans="1:19" ht="16">
      <c r="A27" s="378" t="str">
        <f>'Resid TSM Sum by Rate Schedule'!A27</f>
        <v>Annualized Meter Cost at 10.78%</v>
      </c>
      <c r="B27" s="459">
        <f>B21*Inputs!$C$7</f>
        <v>32.36185514671574</v>
      </c>
      <c r="C27" s="458">
        <f>C21*Inputs!$C$7</f>
        <v>33.887628307932161</v>
      </c>
      <c r="D27" s="458">
        <f>D21*Inputs!$C$7</f>
        <v>33.073539958892361</v>
      </c>
      <c r="E27" s="458">
        <f>E21*Inputs!$C$7</f>
        <v>56.283146309751764</v>
      </c>
      <c r="F27" s="458">
        <f>F21*Inputs!$C$7</f>
        <v>34.033077472018348</v>
      </c>
      <c r="G27" s="459"/>
      <c r="H27" s="458"/>
      <c r="I27" s="458"/>
      <c r="J27" s="458"/>
      <c r="K27" s="457"/>
      <c r="L27" s="459">
        <f>L21*Inputs!$C$7</f>
        <v>32.36185514671574</v>
      </c>
      <c r="M27" s="458">
        <f>M21*Inputs!$C$7</f>
        <v>33.887628307932161</v>
      </c>
      <c r="N27" s="458">
        <f>N21*Inputs!$C$7</f>
        <v>33.073539958892361</v>
      </c>
      <c r="O27" s="458">
        <f>O21*Inputs!$C$7</f>
        <v>56.283146309751764</v>
      </c>
      <c r="P27" s="457">
        <f>P21*Inputs!$C$7</f>
        <v>34.033077472018348</v>
      </c>
    </row>
    <row r="28" spans="1:19" ht="13">
      <c r="A28" s="453" t="s">
        <v>275</v>
      </c>
      <c r="B28" s="461">
        <f t="shared" ref="B28:F28" si="3">SUM(B25:B27)</f>
        <v>112.86631073724291</v>
      </c>
      <c r="C28" s="460">
        <f t="shared" si="3"/>
        <v>259.01516423524833</v>
      </c>
      <c r="D28" s="460">
        <f t="shared" si="3"/>
        <v>714.30721694256056</v>
      </c>
      <c r="E28" s="460">
        <f t="shared" si="3"/>
        <v>1265.40315864131</v>
      </c>
      <c r="F28" s="460">
        <f t="shared" si="3"/>
        <v>337.88814983647899</v>
      </c>
      <c r="G28" s="461"/>
      <c r="H28" s="460"/>
      <c r="I28" s="460"/>
      <c r="J28" s="460"/>
      <c r="K28" s="462"/>
      <c r="L28" s="461">
        <f t="shared" ref="L28:P28" si="4">SUM(L25:L27)</f>
        <v>112.86631073724291</v>
      </c>
      <c r="M28" s="460">
        <f t="shared" si="4"/>
        <v>259.01516423524833</v>
      </c>
      <c r="N28" s="460">
        <f t="shared" si="4"/>
        <v>714.30721694256056</v>
      </c>
      <c r="O28" s="460">
        <f t="shared" si="4"/>
        <v>1265.40315864131</v>
      </c>
      <c r="P28" s="462">
        <f t="shared" si="4"/>
        <v>337.88814983647899</v>
      </c>
      <c r="S28" s="392"/>
    </row>
    <row r="29" spans="1:19" ht="13">
      <c r="A29" s="377"/>
      <c r="B29" s="47"/>
      <c r="C29" s="69"/>
      <c r="D29" s="69"/>
      <c r="E29" s="69"/>
      <c r="F29" s="69"/>
      <c r="G29" s="47"/>
      <c r="H29" s="69"/>
      <c r="I29" s="69"/>
      <c r="J29" s="69"/>
      <c r="K29" s="284"/>
      <c r="L29" s="47"/>
      <c r="M29" s="69"/>
      <c r="N29" s="69"/>
      <c r="O29" s="69"/>
      <c r="P29" s="284"/>
    </row>
    <row r="30" spans="1:19" ht="13">
      <c r="A30" s="36" t="s">
        <v>50</v>
      </c>
      <c r="B30" s="111">
        <f>'Sm Comm TSM Summary'!B$30*Inputs!$C$13</f>
        <v>41.581220803389215</v>
      </c>
      <c r="C30" s="33">
        <f>'Sm Comm TSM Summary'!C$30*Inputs!$C$13</f>
        <v>41.581220803389215</v>
      </c>
      <c r="D30" s="33">
        <f>'Sm Comm TSM Summary'!D$30*Inputs!$C$13</f>
        <v>42.677615931362666</v>
      </c>
      <c r="E30" s="33">
        <f>'Sm Comm TSM Summary'!E$30*Inputs!$C$13</f>
        <v>41.581220803389215</v>
      </c>
      <c r="F30" s="33">
        <f>'Sm Comm TSM Summary'!F$30*Inputs!$C$13</f>
        <v>41.783815555297352</v>
      </c>
      <c r="G30" s="111"/>
      <c r="H30" s="33"/>
      <c r="I30" s="33"/>
      <c r="J30" s="33"/>
      <c r="K30" s="34"/>
      <c r="L30" s="111">
        <f>'Sm Comm TSM Summary'!L$30*Inputs!$C$13</f>
        <v>41.581220803389215</v>
      </c>
      <c r="M30" s="33">
        <f>'Sm Comm TSM Summary'!M$30*Inputs!$C$13</f>
        <v>41.581220803389215</v>
      </c>
      <c r="N30" s="33">
        <f>'Sm Comm TSM Summary'!N$30*Inputs!$C$13</f>
        <v>42.677615931362666</v>
      </c>
      <c r="O30" s="33">
        <f>'Sm Comm TSM Summary'!O$30*Inputs!$C$13</f>
        <v>41.581220803389215</v>
      </c>
      <c r="P30" s="34">
        <f>'Sm Comm TSM Summary'!P$30*Inputs!$C$13</f>
        <v>41.783815555297352</v>
      </c>
    </row>
    <row r="31" spans="1:19" ht="16">
      <c r="A31" s="36" t="s">
        <v>330</v>
      </c>
      <c r="B31" s="546">
        <f>-Inputs!$C$18</f>
        <v>-3.0284021924274875</v>
      </c>
      <c r="C31" s="545">
        <f>-Inputs!$C$18</f>
        <v>-3.0284021924274875</v>
      </c>
      <c r="D31" s="545">
        <f>-Inputs!$C$18</f>
        <v>-3.0284021924274875</v>
      </c>
      <c r="E31" s="545">
        <f>-Inputs!$C$18</f>
        <v>-3.0284021924274875</v>
      </c>
      <c r="F31" s="545">
        <f>-Inputs!$C$18</f>
        <v>-3.0284021924274875</v>
      </c>
      <c r="G31" s="546"/>
      <c r="H31" s="545"/>
      <c r="I31" s="545"/>
      <c r="J31" s="545"/>
      <c r="K31" s="547"/>
      <c r="L31" s="546">
        <f>-Inputs!$C$18</f>
        <v>-3.0284021924274875</v>
      </c>
      <c r="M31" s="545">
        <f>-Inputs!$C$18</f>
        <v>-3.0284021924274875</v>
      </c>
      <c r="N31" s="545">
        <f>-Inputs!$C$18</f>
        <v>-3.0284021924274875</v>
      </c>
      <c r="O31" s="545">
        <f>-Inputs!$C$18</f>
        <v>-3.0284021924274875</v>
      </c>
      <c r="P31" s="547">
        <f>-Inputs!$C$18</f>
        <v>-3.0284021924274875</v>
      </c>
    </row>
    <row r="32" spans="1:19" ht="13">
      <c r="A32" s="36" t="s">
        <v>328</v>
      </c>
      <c r="B32" s="111">
        <f>B30+B31</f>
        <v>38.552818610961729</v>
      </c>
      <c r="C32" s="33">
        <f t="shared" ref="C32:P32" si="5">C30+C31</f>
        <v>38.552818610961729</v>
      </c>
      <c r="D32" s="33">
        <f t="shared" si="5"/>
        <v>39.649213738935181</v>
      </c>
      <c r="E32" s="33">
        <f t="shared" si="5"/>
        <v>38.552818610961729</v>
      </c>
      <c r="F32" s="33">
        <f t="shared" si="5"/>
        <v>38.755413362869866</v>
      </c>
      <c r="G32" s="111"/>
      <c r="H32" s="33"/>
      <c r="I32" s="33"/>
      <c r="J32" s="33"/>
      <c r="K32" s="34"/>
      <c r="L32" s="111">
        <f t="shared" si="5"/>
        <v>38.552818610961729</v>
      </c>
      <c r="M32" s="33">
        <f t="shared" si="5"/>
        <v>38.552818610961729</v>
      </c>
      <c r="N32" s="33">
        <f t="shared" si="5"/>
        <v>39.649213738935181</v>
      </c>
      <c r="O32" s="33">
        <f t="shared" si="5"/>
        <v>38.552818610961729</v>
      </c>
      <c r="P32" s="34">
        <f t="shared" si="5"/>
        <v>38.755413362869866</v>
      </c>
      <c r="S32" s="392"/>
    </row>
    <row r="33" spans="1:19" ht="13">
      <c r="A33" s="118"/>
      <c r="B33" s="111"/>
      <c r="C33" s="33"/>
      <c r="D33" s="33"/>
      <c r="E33" s="33"/>
      <c r="F33" s="33"/>
      <c r="G33" s="111"/>
      <c r="H33" s="33"/>
      <c r="I33" s="33"/>
      <c r="J33" s="33"/>
      <c r="K33" s="34"/>
      <c r="L33" s="111"/>
      <c r="M33" s="33"/>
      <c r="N33" s="33"/>
      <c r="O33" s="33"/>
      <c r="P33" s="34"/>
      <c r="S33" s="392"/>
    </row>
    <row r="34" spans="1:19" ht="13">
      <c r="A34" s="117" t="s">
        <v>57</v>
      </c>
      <c r="B34" s="111">
        <f>'Sm Comm TSM Summary'!B32*Inputs!$C$14</f>
        <v>56.488244546548479</v>
      </c>
      <c r="C34" s="33">
        <f>'Sm Comm TSM Summary'!C32*Inputs!$C$14</f>
        <v>56.488244546548479</v>
      </c>
      <c r="D34" s="33">
        <f>'Sm Comm TSM Summary'!D32*Inputs!$C$14</f>
        <v>56.488244546548479</v>
      </c>
      <c r="E34" s="33">
        <f>'Sm Comm TSM Summary'!E32*Inputs!$C$14</f>
        <v>56.488244546548479</v>
      </c>
      <c r="F34" s="33">
        <f>'Sm Comm TSM Summary'!F32*Inputs!$C$14</f>
        <v>56.488244546548472</v>
      </c>
      <c r="G34" s="111"/>
      <c r="H34" s="33"/>
      <c r="I34" s="33"/>
      <c r="J34" s="33"/>
      <c r="K34" s="34"/>
      <c r="L34" s="111">
        <f>'Sm Comm TSM Summary'!L32*Inputs!$C$14</f>
        <v>56.488244546548479</v>
      </c>
      <c r="M34" s="33">
        <f>'Sm Comm TSM Summary'!M32*Inputs!$C$14</f>
        <v>56.488244546548479</v>
      </c>
      <c r="N34" s="33">
        <f>'Sm Comm TSM Summary'!N32*Inputs!$C$14</f>
        <v>56.488244546548479</v>
      </c>
      <c r="O34" s="33">
        <f>'Sm Comm TSM Summary'!O32*Inputs!$C$14</f>
        <v>56.488244546548479</v>
      </c>
      <c r="P34" s="34">
        <f>'Sm Comm TSM Summary'!P32*Inputs!$C$14</f>
        <v>56.488244546548472</v>
      </c>
      <c r="S34" s="392"/>
    </row>
    <row r="35" spans="1:19">
      <c r="A35" s="118"/>
      <c r="B35" s="11"/>
      <c r="C35" s="12"/>
      <c r="D35" s="12"/>
      <c r="E35" s="12"/>
      <c r="F35" s="12"/>
      <c r="G35" s="11"/>
      <c r="H35" s="12"/>
      <c r="I35" s="12"/>
      <c r="J35" s="12"/>
      <c r="K35" s="76"/>
      <c r="L35" s="11"/>
      <c r="M35" s="12"/>
      <c r="N35" s="12"/>
      <c r="O35" s="12"/>
      <c r="P35" s="76"/>
      <c r="S35" s="392"/>
    </row>
    <row r="36" spans="1:19" ht="13.5" thickBot="1">
      <c r="A36" s="454" t="s">
        <v>83</v>
      </c>
      <c r="B36" s="285">
        <f t="shared" ref="B36:P36" si="6">B28+B32+B34</f>
        <v>207.90737389475314</v>
      </c>
      <c r="C36" s="286">
        <f t="shared" si="6"/>
        <v>354.0562273927585</v>
      </c>
      <c r="D36" s="286">
        <f t="shared" si="6"/>
        <v>810.44467522804416</v>
      </c>
      <c r="E36" s="286">
        <f t="shared" si="6"/>
        <v>1360.4442217988203</v>
      </c>
      <c r="F36" s="286">
        <f t="shared" si="6"/>
        <v>433.13180774589733</v>
      </c>
      <c r="G36" s="285"/>
      <c r="H36" s="286"/>
      <c r="I36" s="286"/>
      <c r="J36" s="286"/>
      <c r="K36" s="287"/>
      <c r="L36" s="285">
        <f t="shared" si="6"/>
        <v>207.90737389475314</v>
      </c>
      <c r="M36" s="286">
        <f t="shared" si="6"/>
        <v>354.0562273927585</v>
      </c>
      <c r="N36" s="286">
        <f t="shared" si="6"/>
        <v>810.44467522804416</v>
      </c>
      <c r="O36" s="286">
        <f t="shared" si="6"/>
        <v>1360.4442217988203</v>
      </c>
      <c r="P36" s="287">
        <f t="shared" si="6"/>
        <v>433.13180774589733</v>
      </c>
      <c r="S36" s="392"/>
    </row>
    <row r="37" spans="1:19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</row>
    <row r="39" spans="1:19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9">
      <c r="A40" t="s">
        <v>3</v>
      </c>
      <c r="B40" s="31"/>
    </row>
    <row r="41" spans="1:19">
      <c r="B41" s="31"/>
    </row>
    <row r="42" spans="1:19">
      <c r="B42" s="31"/>
    </row>
    <row r="43" spans="1:19">
      <c r="B43" s="31"/>
    </row>
    <row r="44" spans="1:19">
      <c r="B44" s="31"/>
    </row>
    <row r="45" spans="1:19">
      <c r="B45" s="31"/>
    </row>
    <row r="48" spans="1:19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60" spans="1:1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77">
    <tabColor rgb="FF00642D"/>
  </sheetPr>
  <dimension ref="A1:AC62"/>
  <sheetViews>
    <sheetView zoomScaleNormal="100" workbookViewId="0">
      <selection activeCell="B7" sqref="B7"/>
    </sheetView>
  </sheetViews>
  <sheetFormatPr defaultRowHeight="12.5"/>
  <cols>
    <col min="1" max="1" width="39" customWidth="1"/>
    <col min="2" max="2" width="12.81640625" bestFit="1" customWidth="1"/>
    <col min="3" max="4" width="11.26953125" bestFit="1" customWidth="1"/>
    <col min="5" max="6" width="12.81640625" bestFit="1" customWidth="1"/>
    <col min="7" max="8" width="11.26953125" bestFit="1" customWidth="1"/>
    <col min="9" max="9" width="12.81640625" bestFit="1" customWidth="1"/>
    <col min="10" max="10" width="12.81640625" customWidth="1"/>
    <col min="11" max="11" width="12.26953125" customWidth="1"/>
    <col min="12" max="12" width="12.26953125" bestFit="1" customWidth="1"/>
    <col min="13" max="13" width="11.26953125" bestFit="1" customWidth="1"/>
    <col min="14" max="14" width="12.81640625" customWidth="1"/>
    <col min="15" max="16" width="11.26953125" bestFit="1" customWidth="1"/>
    <col min="17" max="18" width="12.81640625" bestFit="1" customWidth="1"/>
    <col min="19" max="21" width="11.26953125" bestFit="1" customWidth="1"/>
    <col min="22" max="23" width="12.81640625" bestFit="1" customWidth="1"/>
    <col min="24" max="25" width="10.26953125" customWidth="1"/>
    <col min="26" max="29" width="13.81640625" customWidth="1"/>
  </cols>
  <sheetData>
    <row r="1" spans="1:29" ht="18.5" thickBot="1">
      <c r="A1" s="750" t="s">
        <v>302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29" ht="13.5" thickBot="1">
      <c r="A2" s="103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303</v>
      </c>
      <c r="AA2" s="744"/>
      <c r="AB2" s="744"/>
      <c r="AC2" s="746"/>
    </row>
    <row r="3" spans="1:29" ht="13">
      <c r="A3" s="160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1" t="s">
        <v>96</v>
      </c>
      <c r="K3" s="752"/>
      <c r="L3" s="752"/>
      <c r="M3" s="753"/>
      <c r="N3" s="751" t="s">
        <v>94</v>
      </c>
      <c r="O3" s="752"/>
      <c r="P3" s="752"/>
      <c r="Q3" s="753"/>
      <c r="R3" s="745" t="s">
        <v>118</v>
      </c>
      <c r="S3" s="752"/>
      <c r="T3" s="752"/>
      <c r="U3" s="753"/>
      <c r="V3" s="497"/>
      <c r="W3" s="498"/>
      <c r="X3" s="498"/>
      <c r="Y3" s="499"/>
      <c r="Z3" s="497"/>
      <c r="AA3" s="498"/>
      <c r="AB3" s="498"/>
      <c r="AC3" s="499"/>
    </row>
    <row r="4" spans="1:29" ht="13.5" thickBot="1">
      <c r="A4" s="77" t="s">
        <v>4</v>
      </c>
      <c r="B4" s="494" t="s">
        <v>36</v>
      </c>
      <c r="C4" s="495" t="s">
        <v>37</v>
      </c>
      <c r="D4" s="495" t="s">
        <v>38</v>
      </c>
      <c r="E4" s="496" t="s">
        <v>41</v>
      </c>
      <c r="F4" s="494" t="s">
        <v>36</v>
      </c>
      <c r="G4" s="495" t="s">
        <v>37</v>
      </c>
      <c r="H4" s="495" t="s">
        <v>38</v>
      </c>
      <c r="I4" s="496" t="s">
        <v>41</v>
      </c>
      <c r="J4" s="494" t="s">
        <v>36</v>
      </c>
      <c r="K4" s="495" t="s">
        <v>37</v>
      </c>
      <c r="L4" s="495" t="s">
        <v>40</v>
      </c>
      <c r="M4" s="496" t="s">
        <v>41</v>
      </c>
      <c r="N4" s="494" t="s">
        <v>36</v>
      </c>
      <c r="O4" s="495" t="s">
        <v>37</v>
      </c>
      <c r="P4" s="495" t="s">
        <v>40</v>
      </c>
      <c r="Q4" s="496" t="s">
        <v>41</v>
      </c>
      <c r="R4" s="494" t="s">
        <v>36</v>
      </c>
      <c r="S4" s="495" t="s">
        <v>37</v>
      </c>
      <c r="T4" s="495" t="s">
        <v>38</v>
      </c>
      <c r="U4" s="496" t="s">
        <v>41</v>
      </c>
      <c r="V4" s="494" t="s">
        <v>36</v>
      </c>
      <c r="W4" s="495" t="s">
        <v>37</v>
      </c>
      <c r="X4" s="495" t="s">
        <v>40</v>
      </c>
      <c r="Y4" s="496" t="s">
        <v>41</v>
      </c>
      <c r="Z4" s="494" t="s">
        <v>36</v>
      </c>
      <c r="AA4" s="495" t="s">
        <v>37</v>
      </c>
      <c r="AB4" s="495" t="s">
        <v>40</v>
      </c>
      <c r="AC4" s="496" t="s">
        <v>41</v>
      </c>
    </row>
    <row r="5" spans="1:29" ht="13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29" ht="13">
      <c r="A6" s="84"/>
      <c r="B6" s="109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29" ht="13">
      <c r="A7" s="124" t="s">
        <v>5</v>
      </c>
      <c r="B7" s="109">
        <f>'Sm Comm Cust Fcst'!$B8*'Non-Residential TSM UC Adj'!B7</f>
        <v>17461.829133932159</v>
      </c>
      <c r="C7" s="23">
        <f>'Sm Comm Cust Fcst'!$B8*'Non-Residential TSM UC Adj'!C7</f>
        <v>6730.0273171596209</v>
      </c>
      <c r="D7" s="23">
        <f>'Sm Comm Cust Fcst'!$B8*'Non-Residential TSM UC Adj'!D7</f>
        <v>14057.983893622553</v>
      </c>
      <c r="E7" s="41">
        <f>IF(SUM(B7:D7)=0,0,SUM(B7:D7)/'Sm Comm Cust Fcst'!B8)</f>
        <v>637.49733907857228</v>
      </c>
      <c r="F7" s="109">
        <f>'Sm Comm Cust Fcst'!$C8*'Non-Residential TSM UC Adj'!F7</f>
        <v>1008.4093280282156</v>
      </c>
      <c r="G7" s="23">
        <f>'Sm Comm Cust Fcst'!$C8*'Non-Residential TSM UC Adj'!G7</f>
        <v>1829.4609753019611</v>
      </c>
      <c r="H7" s="23">
        <f>'Sm Comm Cust Fcst'!$C8*'Non-Residential TSM UC Adj'!H7</f>
        <v>905.29049688042528</v>
      </c>
      <c r="I7" s="41">
        <f>IF(SUM(F7:H7)=0,0,SUM(F7:H7)/'Sm Comm Cust Fcst'!C8)</f>
        <v>1247.7202667368674</v>
      </c>
      <c r="J7" s="109">
        <f>'Sm Comm Cust Fcst'!$D8*'Non-Residential TSM UC Adj'!J7</f>
        <v>8129.0186245253408</v>
      </c>
      <c r="K7" s="23">
        <f>'Sm Comm Cust Fcst'!$D8*'Non-Residential TSM UC Adj'!K7</f>
        <v>14025.867477315034</v>
      </c>
      <c r="L7" s="23">
        <f>'Sm Comm Cust Fcst'!$D8*'Non-Residential TSM UC Adj'!L7</f>
        <v>6940.5604760832603</v>
      </c>
      <c r="M7" s="41">
        <f>IF(SUM(J7:L7)=0,0,SUM(J7:L7)/'Sm Comm Cust Fcst'!D8)</f>
        <v>1265.0194164314626</v>
      </c>
      <c r="N7" s="109">
        <f>'Sm Comm Cust Fcst'!$E8*'Non-Residential TSM UC Adj'!N7</f>
        <v>2501.4835067759373</v>
      </c>
      <c r="O7" s="23">
        <f>'Sm Comm Cust Fcst'!$E8*'Non-Residential TSM UC Adj'!O7</f>
        <v>3658.9219506039221</v>
      </c>
      <c r="P7" s="23">
        <f>'Sm Comm Cust Fcst'!$E8*'Non-Residential TSM UC Adj'!P7</f>
        <v>1810.5809937608506</v>
      </c>
      <c r="Q7" s="41">
        <f>IF(SUM(N7:P7)=0,0,SUM(N7:P7)/'Sm Comm Cust Fcst'!E8)</f>
        <v>1328.4977418567851</v>
      </c>
      <c r="R7" s="109">
        <f>B7+F7+J7+N7</f>
        <v>29100.740593261649</v>
      </c>
      <c r="S7" s="23">
        <f t="shared" ref="S7:T23" si="0">C7+G7+K7+O7</f>
        <v>26244.277720380538</v>
      </c>
      <c r="T7" s="23">
        <f t="shared" si="0"/>
        <v>23714.41586034709</v>
      </c>
      <c r="U7" s="41">
        <f>IF(SUM(R7:T7)=0,0,SUM(R7:T7)/'Sm Comm Cust Fcst'!F8)</f>
        <v>859.34167580423116</v>
      </c>
      <c r="V7" s="109">
        <f>'Sm Comm Cust Fcst'!$G8*'Non-Residential TSM UC Adj'!R7</f>
        <v>0</v>
      </c>
      <c r="W7" s="23">
        <f>'Sm Comm Cust Fcst'!$G8*'Non-Residential TSM UC Adj'!S7</f>
        <v>0</v>
      </c>
      <c r="X7" s="23">
        <f>'Sm Comm Cust Fcst'!$G8*'Non-Residential TSM UC Adj'!T7</f>
        <v>0</v>
      </c>
      <c r="Y7" s="41">
        <f>IF(SUM(V7:X7)=0,0,SUM(V7:X7)/'Sm Comm Cust Fcst'!G8)</f>
        <v>0</v>
      </c>
      <c r="Z7" s="109">
        <f>R7+V7</f>
        <v>29100.740593261649</v>
      </c>
      <c r="AA7" s="23">
        <f t="shared" ref="AA7:AB23" si="1">S7+W7</f>
        <v>26244.277720380538</v>
      </c>
      <c r="AB7" s="23">
        <f t="shared" si="1"/>
        <v>23714.41586034709</v>
      </c>
      <c r="AC7" s="41">
        <f>IF(SUM(Z7:AB7)=0,0,SUM(Z7:AB7)/'Sm Comm Cust Fcst'!H8)</f>
        <v>859.34167580423116</v>
      </c>
    </row>
    <row r="8" spans="1:29" ht="13">
      <c r="A8" s="371" t="s">
        <v>193</v>
      </c>
      <c r="B8" s="109">
        <f>'Sm Comm Cust Fcst'!$B9*'Non-Residential TSM UC Adj'!B8</f>
        <v>23573.469330808413</v>
      </c>
      <c r="C8" s="23">
        <f>'Sm Comm Cust Fcst'!$B9*'Non-Residential TSM UC Adj'!C8</f>
        <v>3028.5122927218295</v>
      </c>
      <c r="D8" s="23">
        <f>'Sm Comm Cust Fcst'!$B9*'Non-Residential TSM UC Adj'!D8</f>
        <v>6326.0927521301483</v>
      </c>
      <c r="E8" s="41">
        <f>IF(SUM(B8:D8)=0,0,SUM(B8:D8)/'Sm Comm Cust Fcst'!B9)</f>
        <v>1219.5583102096441</v>
      </c>
      <c r="F8" s="109">
        <f>'Sm Comm Cust Fcst'!$C9*'Non-Residential TSM UC Adj'!F8</f>
        <v>0</v>
      </c>
      <c r="G8" s="23">
        <f>'Sm Comm Cust Fcst'!$C9*'Non-Residential TSM UC Adj'!G8</f>
        <v>0</v>
      </c>
      <c r="H8" s="23">
        <f>'Sm Comm Cust Fcst'!$C9*'Non-Residential TSM UC Adj'!H8</f>
        <v>0</v>
      </c>
      <c r="I8" s="41">
        <f>IF(SUM(F8:H8)=0,0,SUM(F8:H8)/'Sm Comm Cust Fcst'!C9)</f>
        <v>0</v>
      </c>
      <c r="J8" s="109">
        <f>'Sm Comm Cust Fcst'!$D9*'Non-Residential TSM UC Adj'!J8</f>
        <v>31809.203313360034</v>
      </c>
      <c r="K8" s="23">
        <f>'Sm Comm Cust Fcst'!$D9*'Non-Residential TSM UC Adj'!K8</f>
        <v>18294.609753019609</v>
      </c>
      <c r="L8" s="23">
        <f>'Sm Comm Cust Fcst'!$D9*'Non-Residential TSM UC Adj'!L8</f>
        <v>9052.9049688042523</v>
      </c>
      <c r="M8" s="41">
        <f>IF(SUM(J8:L8)=0,0,SUM(J8:L8)/'Sm Comm Cust Fcst'!D9)</f>
        <v>1971.8906011727966</v>
      </c>
      <c r="N8" s="109">
        <f>'Sm Comm Cust Fcst'!$E9*'Non-Residential TSM UC Adj'!N8</f>
        <v>6253.7087669398434</v>
      </c>
      <c r="O8" s="23">
        <f>'Sm Comm Cust Fcst'!$E9*'Non-Residential TSM UC Adj'!O8</f>
        <v>3049.1016255032682</v>
      </c>
      <c r="P8" s="23">
        <f>'Sm Comm Cust Fcst'!$E9*'Non-Residential TSM UC Adj'!P8</f>
        <v>1508.8174948007088</v>
      </c>
      <c r="Q8" s="41">
        <f>IF(SUM(N8:P8)=0,0,SUM(N8:P8)/'Sm Comm Cust Fcst'!E9)</f>
        <v>2162.3255774487643</v>
      </c>
      <c r="R8" s="109">
        <f>B8+F8+J8+N8</f>
        <v>61636.38141110829</v>
      </c>
      <c r="S8" s="23">
        <f>C8+G8+K8+O8</f>
        <v>24372.223671244705</v>
      </c>
      <c r="T8" s="23">
        <f>D8+H8+L8+P8</f>
        <v>16887.815215735107</v>
      </c>
      <c r="U8" s="41">
        <f>IF(SUM(R8:T8)=0,0,SUM(R8:T8)/'Sm Comm Cust Fcst'!F9)</f>
        <v>1659.6196822272275</v>
      </c>
      <c r="V8" s="109">
        <f>'Sm Comm Cust Fcst'!$G9*'Non-Residential TSM UC Adj'!R8</f>
        <v>0</v>
      </c>
      <c r="W8" s="23">
        <f>'Sm Comm Cust Fcst'!$G9*'Non-Residential TSM UC Adj'!S8</f>
        <v>0</v>
      </c>
      <c r="X8" s="23">
        <f>'Sm Comm Cust Fcst'!$G9*'Non-Residential TSM UC Adj'!T8</f>
        <v>0</v>
      </c>
      <c r="Y8" s="41">
        <f>IF(SUM(V8:X8)=0,0,SUM(V8:X8)/'Sm Comm Cust Fcst'!G9)</f>
        <v>0</v>
      </c>
      <c r="Z8" s="109">
        <f>R8+V8</f>
        <v>61636.38141110829</v>
      </c>
      <c r="AA8" s="23">
        <f>S8+W8</f>
        <v>24372.223671244705</v>
      </c>
      <c r="AB8" s="23">
        <f>T8+X8</f>
        <v>16887.815215735107</v>
      </c>
      <c r="AC8" s="41">
        <f>IF(SUM(Z8:AB8)=0,0,SUM(Z8:AB8)/'Sm Comm Cust Fcst'!H9)</f>
        <v>1659.6196822272275</v>
      </c>
    </row>
    <row r="9" spans="1:29" ht="13">
      <c r="A9" s="371" t="s">
        <v>194</v>
      </c>
      <c r="B9" s="109">
        <f>'Sm Comm Cust Fcst'!$B10*'Non-Residential TSM UC Adj'!B8</f>
        <v>24446.560787505023</v>
      </c>
      <c r="C9" s="23">
        <f>'Sm Comm Cust Fcst'!$B10*'Non-Residential TSM UC Adj'!C8</f>
        <v>3140.6794146744896</v>
      </c>
      <c r="D9" s="23">
        <f>'Sm Comm Cust Fcst'!$B10*'Non-Residential TSM UC Adj'!D8</f>
        <v>6560.3924836905244</v>
      </c>
      <c r="E9" s="41">
        <f>IF(SUM(B9:D9)=0,0,SUM(B9:D9)/'Sm Comm Cust Fcst'!B10)</f>
        <v>1219.5583102096441</v>
      </c>
      <c r="F9" s="109">
        <f>'Sm Comm Cust Fcst'!$C10*'Non-Residential TSM UC Adj'!F8</f>
        <v>4033.6373121128622</v>
      </c>
      <c r="G9" s="23">
        <f>'Sm Comm Cust Fcst'!$C10*'Non-Residential TSM UC Adj'!G8</f>
        <v>2439.2813004026148</v>
      </c>
      <c r="H9" s="23">
        <f>'Sm Comm Cust Fcst'!$C10*'Non-Residential TSM UC Adj'!H8</f>
        <v>1207.053995840567</v>
      </c>
      <c r="I9" s="41">
        <f>IF(SUM(F9:H9)=0,0,SUM(F9:H9)/'Sm Comm Cust Fcst'!C10)</f>
        <v>1919.9931520890111</v>
      </c>
      <c r="J9" s="109">
        <f>'Sm Comm Cust Fcst'!$D10*'Non-Residential TSM UC Adj'!J8</f>
        <v>67859.63373516807</v>
      </c>
      <c r="K9" s="23">
        <f>'Sm Comm Cust Fcst'!$D10*'Non-Residential TSM UC Adj'!K8</f>
        <v>39028.500806441836</v>
      </c>
      <c r="L9" s="23">
        <f>'Sm Comm Cust Fcst'!$D10*'Non-Residential TSM UC Adj'!L8</f>
        <v>19312.863933449073</v>
      </c>
      <c r="M9" s="41">
        <f>IF(SUM(J9:L9)=0,0,SUM(J9:L9)/'Sm Comm Cust Fcst'!D10)</f>
        <v>1971.8906011727966</v>
      </c>
      <c r="N9" s="109">
        <f>'Sm Comm Cust Fcst'!$E10*'Non-Residential TSM UC Adj'!N8</f>
        <v>0</v>
      </c>
      <c r="O9" s="23">
        <f>'Sm Comm Cust Fcst'!$E10*'Non-Residential TSM UC Adj'!O8</f>
        <v>0</v>
      </c>
      <c r="P9" s="23">
        <f>'Sm Comm Cust Fcst'!$E10*'Non-Residential TSM UC Adj'!P8</f>
        <v>0</v>
      </c>
      <c r="Q9" s="41">
        <f>IF(SUM(N9:P9)=0,0,SUM(N9:P9)/'Sm Comm Cust Fcst'!E10)</f>
        <v>0</v>
      </c>
      <c r="R9" s="109">
        <f t="shared" ref="R9:T38" si="2">B9+F9+J9+N9</f>
        <v>96339.83183478596</v>
      </c>
      <c r="S9" s="23">
        <f t="shared" si="0"/>
        <v>44608.461521518941</v>
      </c>
      <c r="T9" s="23">
        <f t="shared" si="0"/>
        <v>27080.310412980165</v>
      </c>
      <c r="U9" s="41">
        <f>IF(SUM(R9:T9)=0,0,SUM(R9:T9)/'Sm Comm Cust Fcst'!F10)</f>
        <v>1750.2979559300529</v>
      </c>
      <c r="V9" s="109">
        <f>'Sm Comm Cust Fcst'!$G10*'Non-Residential TSM UC Adj'!R8</f>
        <v>0</v>
      </c>
      <c r="W9" s="23">
        <f>'Sm Comm Cust Fcst'!$G10*'Non-Residential TSM UC Adj'!S8</f>
        <v>0</v>
      </c>
      <c r="X9" s="23">
        <f>'Sm Comm Cust Fcst'!$G10*'Non-Residential TSM UC Adj'!T8</f>
        <v>0</v>
      </c>
      <c r="Y9" s="41">
        <f>IF(SUM(V9:X9)=0,0,SUM(V9:X9)/'Sm Comm Cust Fcst'!G10)</f>
        <v>0</v>
      </c>
      <c r="Z9" s="109">
        <f t="shared" ref="Z9:AB38" si="3">R9+V9</f>
        <v>96339.83183478596</v>
      </c>
      <c r="AA9" s="23">
        <f t="shared" si="1"/>
        <v>44608.461521518941</v>
      </c>
      <c r="AB9" s="23">
        <f t="shared" si="1"/>
        <v>27080.310412980165</v>
      </c>
      <c r="AC9" s="41">
        <f>IF(SUM(Z9:AB9)=0,0,SUM(Z9:AB9)/'Sm Comm Cust Fcst'!H10)</f>
        <v>1750.2979559300529</v>
      </c>
    </row>
    <row r="10" spans="1:29" ht="13">
      <c r="A10" s="126" t="s">
        <v>7</v>
      </c>
      <c r="B10" s="109">
        <f>'Sm Comm Cust Fcst'!$B11*'Non-Residential TSM UC Adj'!B9</f>
        <v>48893.121575010045</v>
      </c>
      <c r="C10" s="23">
        <f>'Sm Comm Cust Fcst'!$B11*'Non-Residential TSM UC Adj'!C9</f>
        <v>8853.8600512013745</v>
      </c>
      <c r="D10" s="23">
        <f>'Sm Comm Cust Fcst'!$B11*'Non-Residential TSM UC Adj'!D9</f>
        <v>13120.784967381049</v>
      </c>
      <c r="E10" s="41">
        <f>IF(SUM(B10:D10)=0,0,SUM(B10:D10)/'Sm Comm Cust Fcst'!B11)</f>
        <v>1265.495832028437</v>
      </c>
      <c r="F10" s="109">
        <f>'Sm Comm Cust Fcst'!$C11*'Non-Residential TSM UC Adj'!F9</f>
        <v>8067.2746242257244</v>
      </c>
      <c r="G10" s="23">
        <f>'Sm Comm Cust Fcst'!$C11*'Non-Residential TSM UC Adj'!G9</f>
        <v>2873.1676764581298</v>
      </c>
      <c r="H10" s="23">
        <f>'Sm Comm Cust Fcst'!$C11*'Non-Residential TSM UC Adj'!H9</f>
        <v>1207.053995840567</v>
      </c>
      <c r="I10" s="41">
        <f>IF(SUM(F10:H10)=0,0,SUM(F10:H10)/'Sm Comm Cust Fcst'!C11)</f>
        <v>3036.8740741311058</v>
      </c>
      <c r="J10" s="109">
        <f>'Sm Comm Cust Fcst'!$D11*'Non-Residential TSM UC Adj'!J9</f>
        <v>190855.21988016021</v>
      </c>
      <c r="K10" s="23">
        <f>'Sm Comm Cust Fcst'!$D11*'Non-Residential TSM UC Adj'!K9</f>
        <v>64646.272720307919</v>
      </c>
      <c r="L10" s="23">
        <f>'Sm Comm Cust Fcst'!$D11*'Non-Residential TSM UC Adj'!L9</f>
        <v>27158.714906412759</v>
      </c>
      <c r="M10" s="41">
        <f>IF(SUM(J10:L10)=0,0,SUM(J10:L10)/'Sm Comm Cust Fcst'!D11)</f>
        <v>3140.6689722986762</v>
      </c>
      <c r="N10" s="109">
        <f>'Sm Comm Cust Fcst'!$E11*'Non-Residential TSM UC Adj'!N9</f>
        <v>15008.901040655623</v>
      </c>
      <c r="O10" s="23">
        <f>'Sm Comm Cust Fcst'!$E11*'Non-Residential TSM UC Adj'!O9</f>
        <v>4309.7515146871947</v>
      </c>
      <c r="P10" s="23">
        <f>'Sm Comm Cust Fcst'!$E11*'Non-Residential TSM UC Adj'!P9</f>
        <v>1810.5809937608506</v>
      </c>
      <c r="Q10" s="41">
        <f>IF(SUM(N10:P10)=0,0,SUM(N10:P10)/'Sm Comm Cust Fcst'!E11)</f>
        <v>3521.5389248506112</v>
      </c>
      <c r="R10" s="109">
        <f t="shared" si="2"/>
        <v>262824.51712005161</v>
      </c>
      <c r="S10" s="23">
        <f t="shared" si="0"/>
        <v>80683.051962654616</v>
      </c>
      <c r="T10" s="23">
        <f t="shared" si="0"/>
        <v>43297.134863395222</v>
      </c>
      <c r="U10" s="41">
        <f>IF(SUM(R10:T10)=0,0,SUM(R10:T10)/'Sm Comm Cust Fcst'!F11)</f>
        <v>2479.5173329878298</v>
      </c>
      <c r="V10" s="109">
        <f>'Sm Comm Cust Fcst'!$G11*'Non-Residential TSM UC Adj'!R9</f>
        <v>0</v>
      </c>
      <c r="W10" s="23">
        <f>'Sm Comm Cust Fcst'!$G11*'Non-Residential TSM UC Adj'!S9</f>
        <v>0</v>
      </c>
      <c r="X10" s="23">
        <f>'Sm Comm Cust Fcst'!$G11*'Non-Residential TSM UC Adj'!T9</f>
        <v>0</v>
      </c>
      <c r="Y10" s="41">
        <f>IF(SUM(V10:X10)=0,0,SUM(V10:X10)/'Sm Comm Cust Fcst'!G11)</f>
        <v>0</v>
      </c>
      <c r="Z10" s="109">
        <f t="shared" si="3"/>
        <v>262824.51712005161</v>
      </c>
      <c r="AA10" s="23">
        <f t="shared" si="1"/>
        <v>80683.051962654616</v>
      </c>
      <c r="AB10" s="23">
        <f t="shared" si="1"/>
        <v>43297.134863395222</v>
      </c>
      <c r="AC10" s="41">
        <f>IF(SUM(Z10:AB10)=0,0,SUM(Z10:AB10)/'Sm Comm Cust Fcst'!H11)</f>
        <v>2479.5173329878298</v>
      </c>
    </row>
    <row r="11" spans="1:29" s="52" customFormat="1" ht="13">
      <c r="A11" s="216" t="s">
        <v>105</v>
      </c>
      <c r="B11" s="109">
        <f>'Sm Comm Cust Fcst'!$B12*'Non-Residential TSM UC Adj'!B10</f>
        <v>109136.43208707598</v>
      </c>
      <c r="C11" s="23">
        <f>'Sm Comm Cust Fcst'!$B12*'Non-Residential TSM UC Adj'!C10</f>
        <v>8641.4672889161284</v>
      </c>
      <c r="D11" s="23">
        <f>'Sm Comm Cust Fcst'!$B12*'Non-Residential TSM UC Adj'!D10</f>
        <v>11714.986578018794</v>
      </c>
      <c r="E11" s="41">
        <f>IF(SUM(B11:D11)=0,0,SUM(B11:D11)/'Sm Comm Cust Fcst'!B12)</f>
        <v>2589.8577190802184</v>
      </c>
      <c r="F11" s="109">
        <f>'Sm Comm Cust Fcst'!$C12*'Non-Residential TSM UC Adj'!F10</f>
        <v>28235.461184790034</v>
      </c>
      <c r="G11" s="23">
        <f>'Sm Comm Cust Fcst'!$C12*'Non-Residential TSM UC Adj'!G10</f>
        <v>4309.7515146871947</v>
      </c>
      <c r="H11" s="23">
        <f>'Sm Comm Cust Fcst'!$C12*'Non-Residential TSM UC Adj'!H10</f>
        <v>1810.5809937608506</v>
      </c>
      <c r="I11" s="41">
        <f>IF(SUM(F11:H11)=0,0,SUM(F11:H11)/'Sm Comm Cust Fcst'!C12)</f>
        <v>5725.9656155396806</v>
      </c>
      <c r="J11" s="109">
        <f>'Sm Comm Cust Fcst'!$D12*'Non-Residential TSM UC Adj'!J10</f>
        <v>212768.22660714155</v>
      </c>
      <c r="K11" s="23">
        <f>'Sm Comm Cust Fcst'!$D12*'Non-Residential TSM UC Adj'!K10</f>
        <v>30886.552521924896</v>
      </c>
      <c r="L11" s="23">
        <f>'Sm Comm Cust Fcst'!$D12*'Non-Residential TSM UC Adj'!L10</f>
        <v>12975.830455286095</v>
      </c>
      <c r="M11" s="41">
        <f>IF(SUM(J11:L11)=0,0,SUM(J11:L11)/'Sm Comm Cust Fcst'!D12)</f>
        <v>5968.1537112640126</v>
      </c>
      <c r="N11" s="109">
        <f>'Sm Comm Cust Fcst'!$E12*'Non-Residential TSM UC Adj'!N10</f>
        <v>5836.7948491438538</v>
      </c>
      <c r="O11" s="23">
        <f>'Sm Comm Cust Fcst'!$E12*'Non-Residential TSM UC Adj'!O10</f>
        <v>718.29191911453245</v>
      </c>
      <c r="P11" s="23">
        <f>'Sm Comm Cust Fcst'!$E12*'Non-Residential TSM UC Adj'!P10</f>
        <v>301.76349896014176</v>
      </c>
      <c r="Q11" s="41">
        <f>IF(SUM(N11:P11)=0,0,SUM(N11:P11)/'Sm Comm Cust Fcst'!E12)</f>
        <v>6856.8502672185286</v>
      </c>
      <c r="R11" s="109">
        <f t="shared" si="2"/>
        <v>355976.9147281514</v>
      </c>
      <c r="S11" s="23">
        <f t="shared" si="0"/>
        <v>44556.063244642748</v>
      </c>
      <c r="T11" s="23">
        <f t="shared" si="0"/>
        <v>26803.161526025884</v>
      </c>
      <c r="U11" s="41">
        <f>IF(SUM(R11:T11)=0,0,SUM(R11:T11)/'Sm Comm Cust Fcst'!F12)</f>
        <v>4273.361394988201</v>
      </c>
      <c r="V11" s="109">
        <f>'Sm Comm Cust Fcst'!$G12*'Non-Residential TSM UC Adj'!R10</f>
        <v>0</v>
      </c>
      <c r="W11" s="23">
        <f>'Sm Comm Cust Fcst'!$G12*'Non-Residential TSM UC Adj'!S10</f>
        <v>0</v>
      </c>
      <c r="X11" s="23">
        <f>'Sm Comm Cust Fcst'!$G12*'Non-Residential TSM UC Adj'!T10</f>
        <v>0</v>
      </c>
      <c r="Y11" s="41">
        <f>IF(SUM(V11:X11)=0,0,SUM(V11:X11)/'Sm Comm Cust Fcst'!G12)</f>
        <v>0</v>
      </c>
      <c r="Z11" s="109">
        <f t="shared" si="3"/>
        <v>355976.9147281514</v>
      </c>
      <c r="AA11" s="23">
        <f t="shared" si="1"/>
        <v>44556.063244642748</v>
      </c>
      <c r="AB11" s="23">
        <f t="shared" si="1"/>
        <v>26803.161526025884</v>
      </c>
      <c r="AC11" s="41">
        <f>IF(SUM(Z11:AB11)=0,0,SUM(Z11:AB11)/'Sm Comm Cust Fcst'!H12)</f>
        <v>4273.361394988201</v>
      </c>
    </row>
    <row r="12" spans="1:29" ht="13">
      <c r="A12" s="124" t="s">
        <v>97</v>
      </c>
      <c r="B12" s="109">
        <f>'Sm Comm Cust Fcst'!$B13*'Non-Residential TSM UC Adj'!B11</f>
        <v>32740.929626122797</v>
      </c>
      <c r="C12" s="23">
        <f>'Sm Comm Cust Fcst'!$B13*'Non-Residential TSM UC Adj'!C11</f>
        <v>2592.4401866748385</v>
      </c>
      <c r="D12" s="23">
        <f>'Sm Comm Cust Fcst'!$B13*'Non-Residential TSM UC Adj'!D11</f>
        <v>3514.4959734056383</v>
      </c>
      <c r="E12" s="41">
        <f>IF(SUM(B12:D12)=0,0,SUM(B12:D12)/'Sm Comm Cust Fcst'!B13)</f>
        <v>2589.8577190802184</v>
      </c>
      <c r="F12" s="109">
        <f>'Sm Comm Cust Fcst'!$C13*'Non-Residential TSM UC Adj'!F11</f>
        <v>23529.550987325027</v>
      </c>
      <c r="G12" s="23">
        <f>'Sm Comm Cust Fcst'!$C13*'Non-Residential TSM UC Adj'!G11</f>
        <v>3591.4595955726622</v>
      </c>
      <c r="H12" s="23">
        <f>'Sm Comm Cust Fcst'!$C13*'Non-Residential TSM UC Adj'!H11</f>
        <v>1508.8174948007088</v>
      </c>
      <c r="I12" s="41">
        <f>IF(SUM(F12:H12)=0,0,SUM(F12:H12)/'Sm Comm Cust Fcst'!C13)</f>
        <v>5725.9656155396788</v>
      </c>
      <c r="J12" s="109">
        <f>'Sm Comm Cust Fcst'!$D13*'Non-Residential TSM UC Adj'!J11</f>
        <v>113806.26074335478</v>
      </c>
      <c r="K12" s="23">
        <f>'Sm Comm Cust Fcst'!$D13*'Non-Residential TSM UC Adj'!K11</f>
        <v>16520.714139634245</v>
      </c>
      <c r="L12" s="23">
        <f>'Sm Comm Cust Fcst'!$D13*'Non-Residential TSM UC Adj'!L11</f>
        <v>6940.5604760832603</v>
      </c>
      <c r="M12" s="41">
        <f>IF(SUM(J12:L12)=0,0,SUM(J12:L12)/'Sm Comm Cust Fcst'!D13)</f>
        <v>5968.1537112640126</v>
      </c>
      <c r="N12" s="109">
        <f>'Sm Comm Cust Fcst'!$E13*'Non-Residential TSM UC Adj'!N11</f>
        <v>23347.179396575415</v>
      </c>
      <c r="O12" s="23">
        <f>'Sm Comm Cust Fcst'!$E13*'Non-Residential TSM UC Adj'!O11</f>
        <v>2873.1676764581298</v>
      </c>
      <c r="P12" s="23">
        <f>'Sm Comm Cust Fcst'!$E13*'Non-Residential TSM UC Adj'!P11</f>
        <v>1207.053995840567</v>
      </c>
      <c r="Q12" s="41">
        <f>IF(SUM(N12:P12)=0,0,SUM(N12:P12)/'Sm Comm Cust Fcst'!E13)</f>
        <v>6856.8502672185286</v>
      </c>
      <c r="R12" s="109">
        <f t="shared" si="2"/>
        <v>193423.92075337801</v>
      </c>
      <c r="S12" s="23">
        <f t="shared" si="0"/>
        <v>25577.781598339876</v>
      </c>
      <c r="T12" s="23">
        <f t="shared" si="0"/>
        <v>13170.927940130176</v>
      </c>
      <c r="U12" s="41">
        <f>IF(SUM(R12:T12)=0,0,SUM(R12:T12)/'Sm Comm Cust Fcst'!F13)</f>
        <v>4939.843197698895</v>
      </c>
      <c r="V12" s="109">
        <f>'Sm Comm Cust Fcst'!$G13*'Non-Residential TSM UC Adj'!R11</f>
        <v>0</v>
      </c>
      <c r="W12" s="23">
        <f>'Sm Comm Cust Fcst'!$G13*'Non-Residential TSM UC Adj'!S11</f>
        <v>0</v>
      </c>
      <c r="X12" s="23">
        <f>'Sm Comm Cust Fcst'!$G13*'Non-Residential TSM UC Adj'!T11</f>
        <v>0</v>
      </c>
      <c r="Y12" s="41">
        <f>IF(SUM(V12:X12)=0,0,SUM(V12:X12)/'Sm Comm Cust Fcst'!G13)</f>
        <v>0</v>
      </c>
      <c r="Z12" s="109">
        <f t="shared" si="3"/>
        <v>193423.92075337801</v>
      </c>
      <c r="AA12" s="23">
        <f t="shared" si="1"/>
        <v>25577.781598339876</v>
      </c>
      <c r="AB12" s="23">
        <f t="shared" si="1"/>
        <v>13170.927940130176</v>
      </c>
      <c r="AC12" s="41">
        <f>IF(SUM(Z12:AB12)=0,0,SUM(Z12:AB12)/'Sm Comm Cust Fcst'!H13)</f>
        <v>4939.843197698895</v>
      </c>
    </row>
    <row r="13" spans="1:29" ht="13">
      <c r="A13" s="124" t="s">
        <v>8</v>
      </c>
      <c r="B13" s="109">
        <f>'Sm Comm Cust Fcst'!$B14*'Non-Residential TSM UC Adj'!B12</f>
        <v>192293.83730158707</v>
      </c>
      <c r="C13" s="23">
        <f>'Sm Comm Cust Fcst'!$B14*'Non-Residential TSM UC Adj'!C12</f>
        <v>17083.385166656128</v>
      </c>
      <c r="D13" s="23">
        <f>'Sm Comm Cust Fcst'!$B14*'Non-Residential TSM UC Adj'!D12</f>
        <v>9606.2889939754114</v>
      </c>
      <c r="E13" s="41">
        <f>IF(SUM(B13:D13)=0,0,SUM(B13:D13)/'Sm Comm Cust Fcst'!B14)</f>
        <v>5341.0612551760642</v>
      </c>
      <c r="F13" s="109">
        <f>'Sm Comm Cust Fcst'!$C14*'Non-Residential TSM UC Adj'!F12</f>
        <v>42353.191777185049</v>
      </c>
      <c r="G13" s="23">
        <f>'Sm Comm Cust Fcst'!$C14*'Non-Residential TSM UC Adj'!G12</f>
        <v>2805.7053214268699</v>
      </c>
      <c r="H13" s="23">
        <f>'Sm Comm Cust Fcst'!$C14*'Non-Residential TSM UC Adj'!H12</f>
        <v>905.29049688042528</v>
      </c>
      <c r="I13" s="41">
        <f>IF(SUM(F13:H13)=0,0,SUM(F13:H13)/'Sm Comm Cust Fcst'!C14)</f>
        <v>15354.729198497449</v>
      </c>
      <c r="J13" s="109">
        <f>'Sm Comm Cust Fcst'!$D14*'Non-Residential TSM UC Adj'!J12</f>
        <v>371107.37198920036</v>
      </c>
      <c r="K13" s="23">
        <f>'Sm Comm Cust Fcst'!$D14*'Non-Residential TSM UC Adj'!K12</f>
        <v>23380.877678557248</v>
      </c>
      <c r="L13" s="23">
        <f>'Sm Comm Cust Fcst'!$D14*'Non-Residential TSM UC Adj'!L12</f>
        <v>7544.0874740035442</v>
      </c>
      <c r="M13" s="41">
        <f>IF(SUM(J13:L13)=0,0,SUM(J13:L13)/'Sm Comm Cust Fcst'!D14)</f>
        <v>16081.293485670445</v>
      </c>
      <c r="N13" s="109">
        <f>'Sm Comm Cust Fcst'!$E14*'Non-Residential TSM UC Adj'!N12</f>
        <v>5836.7948491438538</v>
      </c>
      <c r="O13" s="23">
        <f>'Sm Comm Cust Fcst'!$E14*'Non-Residential TSM UC Adj'!O12</f>
        <v>935.23510714228996</v>
      </c>
      <c r="P13" s="23">
        <f>'Sm Comm Cust Fcst'!$E14*'Non-Residential TSM UC Adj'!P12</f>
        <v>301.76349896014176</v>
      </c>
      <c r="Q13" s="41">
        <f>IF(SUM(N13:P13)=0,0,SUM(N13:P13)/'Sm Comm Cust Fcst'!E14)</f>
        <v>7073.7934552462857</v>
      </c>
      <c r="R13" s="109">
        <f t="shared" si="2"/>
        <v>611591.19591711625</v>
      </c>
      <c r="S13" s="23">
        <f t="shared" si="0"/>
        <v>44205.203273782536</v>
      </c>
      <c r="T13" s="23">
        <f t="shared" si="0"/>
        <v>18357.430463819524</v>
      </c>
      <c r="U13" s="41">
        <f>IF(SUM(R13:T13)=0,0,SUM(R13:T13)/'Sm Comm Cust Fcst'!F14)</f>
        <v>9630.7689950674048</v>
      </c>
      <c r="V13" s="109">
        <f>'Sm Comm Cust Fcst'!$G14*'Non-Residential TSM UC Adj'!R12</f>
        <v>0</v>
      </c>
      <c r="W13" s="23">
        <f>'Sm Comm Cust Fcst'!$G14*'Non-Residential TSM UC Adj'!S12</f>
        <v>0</v>
      </c>
      <c r="X13" s="23">
        <f>'Sm Comm Cust Fcst'!$G14*'Non-Residential TSM UC Adj'!T12</f>
        <v>0</v>
      </c>
      <c r="Y13" s="41">
        <f>IF(SUM(V13:X13)=0,0,SUM(V13:X13)/'Sm Comm Cust Fcst'!G14)</f>
        <v>0</v>
      </c>
      <c r="Z13" s="109">
        <f t="shared" si="3"/>
        <v>611591.19591711625</v>
      </c>
      <c r="AA13" s="23">
        <f t="shared" si="1"/>
        <v>44205.203273782536</v>
      </c>
      <c r="AB13" s="23">
        <f t="shared" si="1"/>
        <v>18357.430463819524</v>
      </c>
      <c r="AC13" s="41">
        <f>IF(SUM(Z13:AB13)=0,0,SUM(Z13:AB13)/'Sm Comm Cust Fcst'!H14)</f>
        <v>9630.7689950674048</v>
      </c>
    </row>
    <row r="14" spans="1:29" ht="13">
      <c r="A14" s="124" t="s">
        <v>9</v>
      </c>
      <c r="B14" s="109">
        <f>'Sm Comm Cust Fcst'!$B15*'Non-Residential TSM UC Adj'!B13</f>
        <v>30900.485273863036</v>
      </c>
      <c r="C14" s="23">
        <f>'Sm Comm Cust Fcst'!$B15*'Non-Residential TSM UC Adj'!C13</f>
        <v>4027.8061416005212</v>
      </c>
      <c r="D14" s="23">
        <f>'Sm Comm Cust Fcst'!$B15*'Non-Residential TSM UC Adj'!D13</f>
        <v>1405.7983893622552</v>
      </c>
      <c r="E14" s="41">
        <f>IF(SUM(B14:D14)=0,0,SUM(B14:D14)/'Sm Comm Cust Fcst'!B15)</f>
        <v>6055.6816341376361</v>
      </c>
      <c r="F14" s="109">
        <f>'Sm Comm Cust Fcst'!$C15*'Non-Residential TSM UC Adj'!F13</f>
        <v>0</v>
      </c>
      <c r="G14" s="23">
        <f>'Sm Comm Cust Fcst'!$C15*'Non-Residential TSM UC Adj'!G13</f>
        <v>0</v>
      </c>
      <c r="H14" s="23">
        <f>'Sm Comm Cust Fcst'!$C15*'Non-Residential TSM UC Adj'!H13</f>
        <v>0</v>
      </c>
      <c r="I14" s="41">
        <f>IF(SUM(F14:H14)=0,0,SUM(F14:H14)/'Sm Comm Cust Fcst'!C15)</f>
        <v>0</v>
      </c>
      <c r="J14" s="109">
        <f>'Sm Comm Cust Fcst'!$D15*'Non-Residential TSM UC Adj'!J13</f>
        <v>74221.47439784008</v>
      </c>
      <c r="K14" s="23">
        <f>'Sm Comm Cust Fcst'!$D15*'Non-Residential TSM UC Adj'!K13</f>
        <v>7202.7496742016328</v>
      </c>
      <c r="L14" s="23">
        <f>'Sm Comm Cust Fcst'!$D15*'Non-Residential TSM UC Adj'!L13</f>
        <v>1508.8174948007088</v>
      </c>
      <c r="M14" s="41">
        <f>IF(SUM(J14:L14)=0,0,SUM(J14:L14)/'Sm Comm Cust Fcst'!D15)</f>
        <v>16586.608313368484</v>
      </c>
      <c r="N14" s="109">
        <f>'Sm Comm Cust Fcst'!$E15*'Non-Residential TSM UC Adj'!N13</f>
        <v>17510.38454743156</v>
      </c>
      <c r="O14" s="23">
        <f>'Sm Comm Cust Fcst'!$E15*'Non-Residential TSM UC Adj'!O13</f>
        <v>1870.4702142845799</v>
      </c>
      <c r="P14" s="23">
        <f>'Sm Comm Cust Fcst'!$E15*'Non-Residential TSM UC Adj'!P13</f>
        <v>603.52699792028352</v>
      </c>
      <c r="Q14" s="41">
        <f>IF(SUM(N14:P14)=0,0,SUM(N14:P14)/'Sm Comm Cust Fcst'!E15)</f>
        <v>9992.1908798182103</v>
      </c>
      <c r="R14" s="109">
        <f t="shared" si="2"/>
        <v>122632.34421913467</v>
      </c>
      <c r="S14" s="23">
        <f t="shared" si="0"/>
        <v>13101.026030086734</v>
      </c>
      <c r="T14" s="23">
        <f t="shared" si="0"/>
        <v>3518.1428820832475</v>
      </c>
      <c r="U14" s="41">
        <f>IF(SUM(R14:T14)=0,0,SUM(R14:T14)/'Sm Comm Cust Fcst'!F15)</f>
        <v>10711.654856254203</v>
      </c>
      <c r="V14" s="109">
        <f>'Sm Comm Cust Fcst'!$G15*'Non-Residential TSM UC Adj'!R13</f>
        <v>0</v>
      </c>
      <c r="W14" s="23">
        <f>'Sm Comm Cust Fcst'!$G15*'Non-Residential TSM UC Adj'!S13</f>
        <v>0</v>
      </c>
      <c r="X14" s="23">
        <f>'Sm Comm Cust Fcst'!$G15*'Non-Residential TSM UC Adj'!T13</f>
        <v>0</v>
      </c>
      <c r="Y14" s="41">
        <f>IF(SUM(V14:X14)=0,0,SUM(V14:X14)/'Sm Comm Cust Fcst'!G15)</f>
        <v>0</v>
      </c>
      <c r="Z14" s="109">
        <f t="shared" si="3"/>
        <v>122632.34421913467</v>
      </c>
      <c r="AA14" s="23">
        <f t="shared" si="1"/>
        <v>13101.026030086734</v>
      </c>
      <c r="AB14" s="23">
        <f t="shared" si="1"/>
        <v>3518.1428820832475</v>
      </c>
      <c r="AC14" s="41">
        <f>IF(SUM(Z14:AB14)=0,0,SUM(Z14:AB14)/'Sm Comm Cust Fcst'!H15)</f>
        <v>10711.654856254203</v>
      </c>
    </row>
    <row r="15" spans="1:29" ht="13">
      <c r="A15" s="124" t="s">
        <v>10</v>
      </c>
      <c r="B15" s="109">
        <f>'Sm Comm Cust Fcst'!$B16*'Non-Residential TSM UC Adj'!B14</f>
        <v>0</v>
      </c>
      <c r="C15" s="23">
        <f>'Sm Comm Cust Fcst'!$B16*'Non-Residential TSM UC Adj'!C14</f>
        <v>0</v>
      </c>
      <c r="D15" s="23">
        <f>'Sm Comm Cust Fcst'!$B16*'Non-Residential TSM UC Adj'!D14</f>
        <v>0</v>
      </c>
      <c r="E15" s="41">
        <f>IF(SUM(B15:D15)=0,0,SUM(B15:D15)/'Sm Comm Cust Fcst'!B16)</f>
        <v>0</v>
      </c>
      <c r="F15" s="109">
        <f>'Sm Comm Cust Fcst'!$C16*'Non-Residential TSM UC Adj'!F14</f>
        <v>0</v>
      </c>
      <c r="G15" s="23">
        <f>'Sm Comm Cust Fcst'!$C16*'Non-Residential TSM UC Adj'!G14</f>
        <v>0</v>
      </c>
      <c r="H15" s="23">
        <f>'Sm Comm Cust Fcst'!$C16*'Non-Residential TSM UC Adj'!H14</f>
        <v>0</v>
      </c>
      <c r="I15" s="41">
        <f>IF(SUM(F15:H15)=0,0,SUM(F15:H15)/'Sm Comm Cust Fcst'!C16)</f>
        <v>0</v>
      </c>
      <c r="J15" s="109">
        <f>'Sm Comm Cust Fcst'!$D16*'Non-Residential TSM UC Adj'!J14</f>
        <v>0</v>
      </c>
      <c r="K15" s="23">
        <f>'Sm Comm Cust Fcst'!$D16*'Non-Residential TSM UC Adj'!K14</f>
        <v>0</v>
      </c>
      <c r="L15" s="23">
        <f>'Sm Comm Cust Fcst'!$D16*'Non-Residential TSM UC Adj'!L14</f>
        <v>0</v>
      </c>
      <c r="M15" s="41">
        <f>IF(SUM(J15:L15)=0,0,SUM(J15:L15)/'Sm Comm Cust Fcst'!D16)</f>
        <v>0</v>
      </c>
      <c r="N15" s="109">
        <f>'Sm Comm Cust Fcst'!$E16*'Non-Residential TSM UC Adj'!N14</f>
        <v>0</v>
      </c>
      <c r="O15" s="23">
        <f>'Sm Comm Cust Fcst'!$E16*'Non-Residential TSM UC Adj'!O14</f>
        <v>0</v>
      </c>
      <c r="P15" s="23">
        <f>'Sm Comm Cust Fcst'!$E16*'Non-Residential TSM UC Adj'!P14</f>
        <v>0</v>
      </c>
      <c r="Q15" s="41">
        <f>IF(SUM(N15:P15)=0,0,SUM(N15:P15)/'Sm Comm Cust Fcst'!E16)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Fcst'!F16)</f>
        <v>0</v>
      </c>
      <c r="V15" s="109">
        <f>'Sm Comm Cust Fcst'!$G16*'Non-Residential TSM UC Adj'!R14</f>
        <v>0</v>
      </c>
      <c r="W15" s="23">
        <f>'Sm Comm Cust Fcst'!$G16*'Non-Residential TSM UC Adj'!S14</f>
        <v>0</v>
      </c>
      <c r="X15" s="23">
        <f>'Sm Comm Cust Fcst'!$G16*'Non-Residential TSM UC Adj'!T14</f>
        <v>0</v>
      </c>
      <c r="Y15" s="41">
        <f>IF(SUM(V15:X15)=0,0,SUM(V15:X15)/'Sm Comm Cust Fcst'!G16)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IF(SUM(Z15:AB15)=0,0,SUM(Z15:AB15)/'Sm Comm Cust Fcst'!H16)</f>
        <v>0</v>
      </c>
    </row>
    <row r="16" spans="1:29" ht="13">
      <c r="A16" s="124" t="s">
        <v>11</v>
      </c>
      <c r="B16" s="109">
        <f>'Sm Comm Cust Fcst'!$B17*'Non-Residential TSM UC Adj'!B15</f>
        <v>0</v>
      </c>
      <c r="C16" s="23">
        <f>'Sm Comm Cust Fcst'!$B17*'Non-Residential TSM UC Adj'!C15</f>
        <v>0</v>
      </c>
      <c r="D16" s="23">
        <f>'Sm Comm Cust Fcst'!$B17*'Non-Residential TSM UC Adj'!D15</f>
        <v>0</v>
      </c>
      <c r="E16" s="41">
        <f>IF(SUM(B16:D16)=0,0,SUM(B16:D16)/'Sm Comm Cust Fcst'!B17)</f>
        <v>0</v>
      </c>
      <c r="F16" s="109">
        <f>'Sm Comm Cust Fcst'!$C17*'Non-Residential TSM UC Adj'!F15</f>
        <v>0</v>
      </c>
      <c r="G16" s="23">
        <f>'Sm Comm Cust Fcst'!$C17*'Non-Residential TSM UC Adj'!G15</f>
        <v>0</v>
      </c>
      <c r="H16" s="23">
        <f>'Sm Comm Cust Fcst'!$C17*'Non-Residential TSM UC Adj'!H15</f>
        <v>0</v>
      </c>
      <c r="I16" s="41">
        <f>IF(SUM(F16:H16)=0,0,SUM(F16:H16)/'Sm Comm Cust Fcst'!C17)</f>
        <v>0</v>
      </c>
      <c r="J16" s="109">
        <f>'Sm Comm Cust Fcst'!$D17*'Non-Residential TSM UC Adj'!J15</f>
        <v>68780.313474850875</v>
      </c>
      <c r="K16" s="23">
        <f>'Sm Comm Cust Fcst'!$D17*'Non-Residential TSM UC Adj'!K15</f>
        <v>11524.399478722613</v>
      </c>
      <c r="L16" s="23">
        <f>'Sm Comm Cust Fcst'!$D17*'Non-Residential TSM UC Adj'!L15</f>
        <v>3462.7034011659766</v>
      </c>
      <c r="M16" s="41">
        <f>IF(SUM(J16:L16)=0,0,SUM(J16:L16)/'Sm Comm Cust Fcst'!D17)</f>
        <v>20941.854088684864</v>
      </c>
      <c r="N16" s="109">
        <f>'Sm Comm Cust Fcst'!$E17*'Non-Residential TSM UC Adj'!N15</f>
        <v>35020.769094863121</v>
      </c>
      <c r="O16" s="23">
        <f>'Sm Comm Cust Fcst'!$E17*'Non-Residential TSM UC Adj'!O15</f>
        <v>2881.0998696806532</v>
      </c>
      <c r="P16" s="23">
        <f>'Sm Comm Cust Fcst'!$E17*'Non-Residential TSM UC Adj'!P15</f>
        <v>1731.3517005829883</v>
      </c>
      <c r="Q16" s="41">
        <f>IF(SUM(N16:P16)=0,0,SUM(N16:P16)/'Sm Comm Cust Fcst'!E17)</f>
        <v>19816.610332563381</v>
      </c>
      <c r="R16" s="109">
        <f t="shared" si="2"/>
        <v>103801.082569714</v>
      </c>
      <c r="S16" s="23">
        <f t="shared" si="0"/>
        <v>14405.499348403266</v>
      </c>
      <c r="T16" s="23">
        <f t="shared" si="0"/>
        <v>5194.0551017489652</v>
      </c>
      <c r="U16" s="41">
        <f>IF(SUM(R16:T16)=0,0,SUM(R16:T16)/'Sm Comm Cust Fcst'!F17)</f>
        <v>20566.77283664437</v>
      </c>
      <c r="V16" s="109">
        <f>'Sm Comm Cust Fcst'!$G17*'Non-Residential TSM UC Adj'!R15</f>
        <v>0</v>
      </c>
      <c r="W16" s="23">
        <f>'Sm Comm Cust Fcst'!$G17*'Non-Residential TSM UC Adj'!S15</f>
        <v>0</v>
      </c>
      <c r="X16" s="23">
        <f>'Sm Comm Cust Fcst'!$G17*'Non-Residential TSM UC Adj'!T15</f>
        <v>0</v>
      </c>
      <c r="Y16" s="41">
        <f>IF(SUM(V16:X16)=0,0,SUM(V16:X16)/'Sm Comm Cust Fcst'!G17)</f>
        <v>0</v>
      </c>
      <c r="Z16" s="109">
        <f t="shared" si="3"/>
        <v>103801.082569714</v>
      </c>
      <c r="AA16" s="23">
        <f t="shared" si="1"/>
        <v>14405.499348403266</v>
      </c>
      <c r="AB16" s="23">
        <f t="shared" si="1"/>
        <v>5194.0551017489652</v>
      </c>
      <c r="AC16" s="41">
        <f>IF(SUM(Z16:AB16)=0,0,SUM(Z16:AB16)/'Sm Comm Cust Fcst'!H17)</f>
        <v>20566.77283664437</v>
      </c>
    </row>
    <row r="17" spans="1:29" ht="13">
      <c r="A17" s="124" t="s">
        <v>101</v>
      </c>
      <c r="B17" s="109">
        <f>'Sm Comm Cust Fcst'!$B18*'Non-Residential TSM UC Adj'!B16</f>
        <v>0</v>
      </c>
      <c r="C17" s="23">
        <f>'Sm Comm Cust Fcst'!$B18*'Non-Residential TSM UC Adj'!C16</f>
        <v>0</v>
      </c>
      <c r="D17" s="23">
        <f>'Sm Comm Cust Fcst'!$B18*'Non-Residential TSM UC Adj'!D16</f>
        <v>0</v>
      </c>
      <c r="E17" s="41">
        <f>IF(SUM(B17:D17)=0,0,SUM(B17:D17)/'Sm Comm Cust Fcst'!B18)</f>
        <v>0</v>
      </c>
      <c r="F17" s="109">
        <f>'Sm Comm Cust Fcst'!$C18*'Non-Residential TSM UC Adj'!F16</f>
        <v>0</v>
      </c>
      <c r="G17" s="23">
        <f>'Sm Comm Cust Fcst'!$C18*'Non-Residential TSM UC Adj'!G16</f>
        <v>0</v>
      </c>
      <c r="H17" s="23">
        <f>'Sm Comm Cust Fcst'!$C18*'Non-Residential TSM UC Adj'!H16</f>
        <v>0</v>
      </c>
      <c r="I17" s="41">
        <f>IF(SUM(F17:H17)=0,0,SUM(F17:H17)/'Sm Comm Cust Fcst'!C18)</f>
        <v>0</v>
      </c>
      <c r="J17" s="109">
        <f>'Sm Comm Cust Fcst'!$D18*'Non-Residential TSM UC Adj'!J16</f>
        <v>0</v>
      </c>
      <c r="K17" s="23">
        <f>'Sm Comm Cust Fcst'!$D18*'Non-Residential TSM UC Adj'!K16</f>
        <v>0</v>
      </c>
      <c r="L17" s="23">
        <f>'Sm Comm Cust Fcst'!$D18*'Non-Residential TSM UC Adj'!L16</f>
        <v>0</v>
      </c>
      <c r="M17" s="41">
        <f>IF(SUM(J17:L17)=0,0,SUM(J17:L17)/'Sm Comm Cust Fcst'!D18)</f>
        <v>0</v>
      </c>
      <c r="N17" s="109">
        <f>'Sm Comm Cust Fcst'!$E18*'Non-Residential TSM UC Adj'!N16</f>
        <v>0</v>
      </c>
      <c r="O17" s="23">
        <f>'Sm Comm Cust Fcst'!$E18*'Non-Residential TSM UC Adj'!O16</f>
        <v>0</v>
      </c>
      <c r="P17" s="23">
        <f>'Sm Comm Cust Fcst'!$E18*'Non-Residential TSM UC Adj'!P16</f>
        <v>0</v>
      </c>
      <c r="Q17" s="41">
        <f>IF(SUM(N17:P17)=0,0,SUM(N17:P17)/'Sm Comm Cust Fcst'!E18)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Fcst'!F18)</f>
        <v>0</v>
      </c>
      <c r="V17" s="109">
        <f>'Sm Comm Cust Fcst'!$G18*'Non-Residential TSM UC Adj'!R16</f>
        <v>0</v>
      </c>
      <c r="W17" s="23">
        <f>'Sm Comm Cust Fcst'!$G18*'Non-Residential TSM UC Adj'!S16</f>
        <v>0</v>
      </c>
      <c r="X17" s="23">
        <f>'Sm Comm Cust Fcst'!$G18*'Non-Residential TSM UC Adj'!T16</f>
        <v>0</v>
      </c>
      <c r="Y17" s="41">
        <f>IF(SUM(V17:X17)=0,0,SUM(V17:X17)/'Sm Comm Cust Fcst'!G18)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IF(SUM(Z17:AB17)=0,0,SUM(Z17:AB17)/'Sm Comm Cust Fcst'!H18)</f>
        <v>0</v>
      </c>
    </row>
    <row r="18" spans="1:29" ht="13">
      <c r="A18" s="124" t="s">
        <v>102</v>
      </c>
      <c r="B18" s="109">
        <f>'Sm Comm Cust Fcst'!$B19*'Non-Residential TSM UC Adj'!J17</f>
        <v>0</v>
      </c>
      <c r="C18" s="23">
        <f>'Sm Comm Cust Fcst'!$B19*'Non-Residential TSM UC Adj'!K17</f>
        <v>0</v>
      </c>
      <c r="D18" s="23">
        <f>'Sm Comm Cust Fcst'!$B19*'Non-Residential TSM UC Adj'!L17</f>
        <v>0</v>
      </c>
      <c r="E18" s="41">
        <f>IF(SUM(B18:D18)=0,0,SUM(B18:D18)/'Sm Comm Cust Fcst'!B19)</f>
        <v>0</v>
      </c>
      <c r="F18" s="109">
        <f>'Sm Comm Cust Fcst'!$C19*'Non-Residential TSM UC Adj'!F17</f>
        <v>0</v>
      </c>
      <c r="G18" s="23">
        <f>'Sm Comm Cust Fcst'!$C19*'Non-Residential TSM UC Adj'!G17</f>
        <v>0</v>
      </c>
      <c r="H18" s="23">
        <f>'Sm Comm Cust Fcst'!$C19*'Non-Residential TSM UC Adj'!H17</f>
        <v>0</v>
      </c>
      <c r="I18" s="41">
        <f>IF(SUM(F18:H18)=0,0,SUM(F18:H18)/'Sm Comm Cust Fcst'!C19)</f>
        <v>0</v>
      </c>
      <c r="J18" s="109">
        <f>'Sm Comm Cust Fcst'!$D19*'Non-Residential TSM UC Adj'!J17</f>
        <v>0</v>
      </c>
      <c r="K18" s="23">
        <f>'Sm Comm Cust Fcst'!$D19*'Non-Residential TSM UC Adj'!K17</f>
        <v>0</v>
      </c>
      <c r="L18" s="23">
        <f>'Sm Comm Cust Fcst'!$D19*'Non-Residential TSM UC Adj'!L17</f>
        <v>0</v>
      </c>
      <c r="M18" s="41">
        <f>IF(SUM(J18:L18)=0,0,SUM(J18:L18)/'Sm Comm Cust Fcst'!D19)</f>
        <v>0</v>
      </c>
      <c r="N18" s="109">
        <f>'Sm Comm Cust Fcst'!$E19*'Non-Residential TSM UC Adj'!N17</f>
        <v>0</v>
      </c>
      <c r="O18" s="23">
        <f>'Sm Comm Cust Fcst'!$E19*'Non-Residential TSM UC Adj'!O17</f>
        <v>0</v>
      </c>
      <c r="P18" s="23">
        <f>'Sm Comm Cust Fcst'!$E19*'Non-Residential TSM UC Adj'!P17</f>
        <v>0</v>
      </c>
      <c r="Q18" s="41">
        <f>IF(SUM(N18:P18)=0,0,SUM(N18:P18)/'Sm Comm Cust Fcst'!E19)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Fcst'!F19)</f>
        <v>0</v>
      </c>
      <c r="V18" s="109">
        <f>'Sm Comm Cust Fcst'!$G19*'Non-Residential TSM UC Adj'!R17</f>
        <v>0</v>
      </c>
      <c r="W18" s="23">
        <f>'Sm Comm Cust Fcst'!$G19*'Non-Residential TSM UC Adj'!S17</f>
        <v>0</v>
      </c>
      <c r="X18" s="23">
        <f>'Sm Comm Cust Fcst'!$G19*'Non-Residential TSM UC Adj'!T17</f>
        <v>0</v>
      </c>
      <c r="Y18" s="41">
        <f>IF(SUM(V18:X18)=0,0,SUM(V18:X18)/'Sm Comm Cust Fcst'!G19)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IF(SUM(Z18:AB18)=0,0,SUM(Z18:AB18)/'Sm Comm Cust Fcst'!H19)</f>
        <v>0</v>
      </c>
    </row>
    <row r="19" spans="1:29" ht="13">
      <c r="A19" s="124" t="s">
        <v>12</v>
      </c>
      <c r="B19" s="109">
        <f>'Sm Comm Cust Fcst'!$B20*'Non-Residential TSM UC Adj'!J18</f>
        <v>0</v>
      </c>
      <c r="C19" s="23">
        <f>'Sm Comm Cust Fcst'!$B20*'Non-Residential TSM UC Adj'!K18</f>
        <v>0</v>
      </c>
      <c r="D19" s="23">
        <f>'Sm Comm Cust Fcst'!$B20*'Non-Residential TSM UC Adj'!L18</f>
        <v>0</v>
      </c>
      <c r="E19" s="41">
        <f>IF(SUM(B19:D19)=0,0,SUM(B19:D19)/'Sm Comm Cust Fcst'!B20)</f>
        <v>0</v>
      </c>
      <c r="F19" s="109">
        <f>'Sm Comm Cust Fcst'!$C20*'Non-Residential TSM UC Adj'!J18</f>
        <v>0</v>
      </c>
      <c r="G19" s="23">
        <f>'Sm Comm Cust Fcst'!$C20*'Non-Residential TSM UC Adj'!K18</f>
        <v>0</v>
      </c>
      <c r="H19" s="23">
        <f>'Sm Comm Cust Fcst'!$C20*'Non-Residential TSM UC Adj'!L18</f>
        <v>0</v>
      </c>
      <c r="I19" s="41">
        <f>IF(SUM(F19:H19)=0,0,SUM(F19:H19)/'Sm Comm Cust Fcst'!C20)</f>
        <v>0</v>
      </c>
      <c r="J19" s="109">
        <f>'Sm Comm Cust Fcst'!$D20*'Non-Residential TSM UC Adj'!J18</f>
        <v>0</v>
      </c>
      <c r="K19" s="23">
        <f>'Sm Comm Cust Fcst'!$D20*'Non-Residential TSM UC Adj'!K18</f>
        <v>0</v>
      </c>
      <c r="L19" s="23">
        <f>'Sm Comm Cust Fcst'!$D20*'Non-Residential TSM UC Adj'!L18</f>
        <v>0</v>
      </c>
      <c r="M19" s="41">
        <f>IF(SUM(J19:L19)=0,0,SUM(J19:L19)/'Sm Comm Cust Fcst'!D20)</f>
        <v>0</v>
      </c>
      <c r="N19" s="109">
        <f>'Sm Comm Cust Fcst'!$E20*'Non-Residential TSM UC Adj'!N18</f>
        <v>0</v>
      </c>
      <c r="O19" s="23">
        <f>'Sm Comm Cust Fcst'!$E20*'Non-Residential TSM UC Adj'!O18</f>
        <v>0</v>
      </c>
      <c r="P19" s="23">
        <f>'Sm Comm Cust Fcst'!$E20*'Non-Residential TSM UC Adj'!P18</f>
        <v>0</v>
      </c>
      <c r="Q19" s="41">
        <f>IF(SUM(N19:P19)=0,0,SUM(N19:P19)/'Sm Comm Cust Fcst'!E20)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Fcst'!F20)</f>
        <v>0</v>
      </c>
      <c r="V19" s="109">
        <f>'Sm Comm Cust Fcst'!$G20*'Non-Residential TSM UC Adj'!R18</f>
        <v>0</v>
      </c>
      <c r="W19" s="23">
        <f>'Sm Comm Cust Fcst'!$G20*'Non-Residential TSM UC Adj'!S18</f>
        <v>0</v>
      </c>
      <c r="X19" s="23">
        <f>'Sm Comm Cust Fcst'!$G20*'Non-Residential TSM UC Adj'!T18</f>
        <v>0</v>
      </c>
      <c r="Y19" s="41">
        <f>IF(SUM(V19:X19)=0,0,SUM(V19:X19)/'Sm Comm Cust Fcst'!G20)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IF(SUM(Z19:AB19)=0,0,SUM(Z19:AB19)/'Sm Comm Cust Fcst'!H20)</f>
        <v>0</v>
      </c>
    </row>
    <row r="20" spans="1:29" s="52" customFormat="1" ht="13">
      <c r="A20" s="106" t="s">
        <v>13</v>
      </c>
      <c r="B20" s="109">
        <f>'Sm Comm Cust Fcst'!$B21*'Non-Residential TSM UC Adj'!J19</f>
        <v>0</v>
      </c>
      <c r="C20" s="23">
        <f>'Sm Comm Cust Fcst'!$B21*'Non-Residential TSM UC Adj'!K19</f>
        <v>0</v>
      </c>
      <c r="D20" s="23">
        <f>'Sm Comm Cust Fcst'!$B21*'Non-Residential TSM UC Adj'!L19</f>
        <v>0</v>
      </c>
      <c r="E20" s="41">
        <f>IF(SUM(B20:D20)=0,0,SUM(B20:D20)/'Sm Comm Cust Fcst'!B21)</f>
        <v>0</v>
      </c>
      <c r="F20" s="109">
        <f>'Sm Comm Cust Fcst'!$C21*'Non-Residential TSM UC Adj'!J19</f>
        <v>0</v>
      </c>
      <c r="G20" s="23">
        <f>'Sm Comm Cust Fcst'!$C21*'Non-Residential TSM UC Adj'!K19</f>
        <v>0</v>
      </c>
      <c r="H20" s="23">
        <f>'Sm Comm Cust Fcst'!$C21*'Non-Residential TSM UC Adj'!L19</f>
        <v>0</v>
      </c>
      <c r="I20" s="41">
        <f>IF(SUM(F20:H20)=0,0,SUM(F20:H20)/'Sm Comm Cust Fcst'!C21)</f>
        <v>0</v>
      </c>
      <c r="J20" s="109">
        <f>'Sm Comm Cust Fcst'!$D21*'Non-Residential TSM UC Adj'!J19</f>
        <v>0</v>
      </c>
      <c r="K20" s="23">
        <f>'Sm Comm Cust Fcst'!$D21*'Non-Residential TSM UC Adj'!K19</f>
        <v>0</v>
      </c>
      <c r="L20" s="23">
        <f>'Sm Comm Cust Fcst'!$D21*'Non-Residential TSM UC Adj'!L19</f>
        <v>0</v>
      </c>
      <c r="M20" s="41">
        <f>IF(SUM(J20:L20)=0,0,SUM(J20:L20)/'Sm Comm Cust Fcst'!D21)</f>
        <v>0</v>
      </c>
      <c r="N20" s="109">
        <f>'Sm Comm Cust Fcst'!$E21*'Non-Residential TSM UC Adj'!N19</f>
        <v>0</v>
      </c>
      <c r="O20" s="23">
        <f>'Sm Comm Cust Fcst'!$E21*'Non-Residential TSM UC Adj'!O19</f>
        <v>0</v>
      </c>
      <c r="P20" s="23">
        <f>'Sm Comm Cust Fcst'!$E21*'Non-Residential TSM UC Adj'!P19</f>
        <v>0</v>
      </c>
      <c r="Q20" s="41">
        <f>IF(SUM(N20:P20)=0,0,SUM(N20:P20)/'Sm Comm Cust Fcst'!E21)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Fcst'!F21)</f>
        <v>0</v>
      </c>
      <c r="V20" s="109">
        <f>'Sm Comm Cust Fcst'!$G21*'Non-Residential TSM UC Adj'!R19</f>
        <v>0</v>
      </c>
      <c r="W20" s="23">
        <f>'Sm Comm Cust Fcst'!$G21*'Non-Residential TSM UC Adj'!S19</f>
        <v>0</v>
      </c>
      <c r="X20" s="23">
        <f>'Sm Comm Cust Fcst'!$G21*'Non-Residential TSM UC Adj'!T19</f>
        <v>0</v>
      </c>
      <c r="Y20" s="41">
        <f>IF(SUM(V20:X20)=0,0,SUM(V20:X20)/'Sm Comm Cust Fcst'!G21)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IF(SUM(Z20:AB20)=0,0,SUM(Z20:AB20)/'Sm Comm Cust Fcst'!H21)</f>
        <v>0</v>
      </c>
    </row>
    <row r="21" spans="1:29" ht="13">
      <c r="A21" s="124" t="s">
        <v>103</v>
      </c>
      <c r="B21" s="109">
        <f>'Sm Comm Cust Fcst'!$B22*'Non-Residential TSM UC Adj'!J20</f>
        <v>0</v>
      </c>
      <c r="C21" s="23">
        <f>'Sm Comm Cust Fcst'!$B22*'Non-Residential TSM UC Adj'!K20</f>
        <v>0</v>
      </c>
      <c r="D21" s="23">
        <f>'Sm Comm Cust Fcst'!$B22*'Non-Residential TSM UC Adj'!L20</f>
        <v>0</v>
      </c>
      <c r="E21" s="41">
        <f>IF(SUM(B21:D21)=0,0,SUM(B21:D21)/'Sm Comm Cust Fcst'!B22)</f>
        <v>0</v>
      </c>
      <c r="F21" s="109">
        <f>'Sm Comm Cust Fcst'!$C22*'Non-Residential TSM UC Adj'!J20</f>
        <v>0</v>
      </c>
      <c r="G21" s="23">
        <f>'Sm Comm Cust Fcst'!$C22*'Non-Residential TSM UC Adj'!K20</f>
        <v>0</v>
      </c>
      <c r="H21" s="23">
        <f>'Sm Comm Cust Fcst'!$C22*'Non-Residential TSM UC Adj'!L20</f>
        <v>0</v>
      </c>
      <c r="I21" s="41">
        <f>IF(SUM(F21:H21)=0,0,SUM(F21:H21)/'Sm Comm Cust Fcst'!C22)</f>
        <v>0</v>
      </c>
      <c r="J21" s="109">
        <f>'Sm Comm Cust Fcst'!$D22*'Non-Residential TSM UC Adj'!J20</f>
        <v>0</v>
      </c>
      <c r="K21" s="23">
        <f>'Sm Comm Cust Fcst'!$D22*'Non-Residential TSM UC Adj'!K20</f>
        <v>0</v>
      </c>
      <c r="L21" s="23">
        <f>'Sm Comm Cust Fcst'!$D22*'Non-Residential TSM UC Adj'!L20</f>
        <v>0</v>
      </c>
      <c r="M21" s="41">
        <f>IF(SUM(J21:L21)=0,0,SUM(J21:L21)/'Sm Comm Cust Fcst'!D22)</f>
        <v>0</v>
      </c>
      <c r="N21" s="109">
        <f>'Sm Comm Cust Fcst'!$E22*'Non-Residential TSM UC Adj'!N20</f>
        <v>0</v>
      </c>
      <c r="O21" s="23">
        <f>'Sm Comm Cust Fcst'!$E22*'Non-Residential TSM UC Adj'!O20</f>
        <v>0</v>
      </c>
      <c r="P21" s="23">
        <f>'Sm Comm Cust Fcst'!$E22*'Non-Residential TSM UC Adj'!P20</f>
        <v>0</v>
      </c>
      <c r="Q21" s="41">
        <f>IF(SUM(N21:P21)=0,0,SUM(N21:P21)/'Sm Comm Cust Fcst'!E22)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Fcst'!F22)</f>
        <v>0</v>
      </c>
      <c r="V21" s="109">
        <f>'Sm Comm Cust Fcst'!$G22*'Non-Residential TSM UC Adj'!R20</f>
        <v>0</v>
      </c>
      <c r="W21" s="23">
        <f>'Sm Comm Cust Fcst'!$G22*'Non-Residential TSM UC Adj'!S20</f>
        <v>0</v>
      </c>
      <c r="X21" s="23">
        <f>'Sm Comm Cust Fcst'!$G22*'Non-Residential TSM UC Adj'!T20</f>
        <v>0</v>
      </c>
      <c r="Y21" s="41">
        <f>IF(SUM(V21:X21)=0,0,SUM(V21:X21)/'Sm Comm Cust Fcst'!G22)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IF(SUM(Z21:AB21)=0,0,SUM(Z21:AB21)/'Sm Comm Cust Fcst'!H22)</f>
        <v>0</v>
      </c>
    </row>
    <row r="22" spans="1:29" ht="13">
      <c r="A22" s="124" t="s">
        <v>104</v>
      </c>
      <c r="B22" s="109">
        <f>'Sm Comm Cust Fcst'!$B23*'Non-Residential TSM UC Adj'!J21</f>
        <v>0</v>
      </c>
      <c r="C22" s="23">
        <f>'Sm Comm Cust Fcst'!$B23*'Non-Residential TSM UC Adj'!K21</f>
        <v>0</v>
      </c>
      <c r="D22" s="23">
        <f>'Sm Comm Cust Fcst'!$B23*'Non-Residential TSM UC Adj'!L21</f>
        <v>0</v>
      </c>
      <c r="E22" s="41">
        <f>IF(SUM(B22:D22)=0,0,SUM(B22:D22)/'Sm Comm Cust Fcst'!B23)</f>
        <v>0</v>
      </c>
      <c r="F22" s="109">
        <f>'Sm Comm Cust Fcst'!$C23*'Non-Residential TSM UC Adj'!J21</f>
        <v>0</v>
      </c>
      <c r="G22" s="23">
        <f>'Sm Comm Cust Fcst'!$C23*'Non-Residential TSM UC Adj'!K21</f>
        <v>0</v>
      </c>
      <c r="H22" s="23">
        <f>'Sm Comm Cust Fcst'!$C23*'Non-Residential TSM UC Adj'!L21</f>
        <v>0</v>
      </c>
      <c r="I22" s="41">
        <f>IF(SUM(F22:H22)=0,0,SUM(F22:H22)/'Sm Comm Cust Fcst'!C23)</f>
        <v>0</v>
      </c>
      <c r="J22" s="109">
        <f>'Sm Comm Cust Fcst'!$D23*'Non-Residential TSM UC Adj'!J21</f>
        <v>0</v>
      </c>
      <c r="K22" s="23">
        <f>'Sm Comm Cust Fcst'!$D23*'Non-Residential TSM UC Adj'!K21</f>
        <v>0</v>
      </c>
      <c r="L22" s="23">
        <f>'Sm Comm Cust Fcst'!$D23*'Non-Residential TSM UC Adj'!L21</f>
        <v>0</v>
      </c>
      <c r="M22" s="41">
        <f>IF(SUM(J22:L22)=0,0,SUM(J22:L22)/'Sm Comm Cust Fcst'!D23)</f>
        <v>0</v>
      </c>
      <c r="N22" s="109">
        <f>'Sm Comm Cust Fcst'!$E23*'Non-Residential TSM UC Adj'!N21</f>
        <v>0</v>
      </c>
      <c r="O22" s="23">
        <f>'Sm Comm Cust Fcst'!$E23*'Non-Residential TSM UC Adj'!O21</f>
        <v>0</v>
      </c>
      <c r="P22" s="23">
        <f>'Sm Comm Cust Fcst'!$E23*'Non-Residential TSM UC Adj'!P21</f>
        <v>0</v>
      </c>
      <c r="Q22" s="41">
        <f>IF(SUM(N22:P22)=0,0,SUM(N22:P22)/'Sm Comm Cust Fcst'!E23)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Fcst'!F23)</f>
        <v>0</v>
      </c>
      <c r="V22" s="109">
        <f>'Sm Comm Cust Fcst'!$G23*'Non-Residential TSM UC Adj'!R21</f>
        <v>0</v>
      </c>
      <c r="W22" s="23">
        <f>'Sm Comm Cust Fcst'!$G23*'Non-Residential TSM UC Adj'!S21</f>
        <v>0</v>
      </c>
      <c r="X22" s="23">
        <f>'Sm Comm Cust Fcst'!$G23*'Non-Residential TSM UC Adj'!T21</f>
        <v>0</v>
      </c>
      <c r="Y22" s="41">
        <f>IF(SUM(V22:X22)=0,0,SUM(V22:X22)/'Sm Comm Cust Fcst'!G23)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IF(SUM(Z22:AB22)=0,0,SUM(Z22:AB22)/'Sm Comm Cust Fcst'!H23)</f>
        <v>0</v>
      </c>
    </row>
    <row r="23" spans="1:29" ht="13">
      <c r="A23" s="124" t="s">
        <v>14</v>
      </c>
      <c r="B23" s="109">
        <f>'Sm Comm Cust Fcst'!$B24*'Non-Residential TSM UC Adj'!J22</f>
        <v>0</v>
      </c>
      <c r="C23" s="23">
        <f>'Sm Comm Cust Fcst'!$B24*'Non-Residential TSM UC Adj'!K22</f>
        <v>0</v>
      </c>
      <c r="D23" s="23">
        <f>'Sm Comm Cust Fcst'!$B24*'Non-Residential TSM UC Adj'!L22</f>
        <v>0</v>
      </c>
      <c r="E23" s="41">
        <f>IF(SUM(B23:D23)=0,0,SUM(B23:D23)/'Sm Comm Cust Fcst'!B24)</f>
        <v>0</v>
      </c>
      <c r="F23" s="109">
        <f>'Sm Comm Cust Fcst'!$C24*'Non-Residential TSM UC Adj'!J22</f>
        <v>0</v>
      </c>
      <c r="G23" s="23">
        <f>'Sm Comm Cust Fcst'!$C24*'Non-Residential TSM UC Adj'!K22</f>
        <v>0</v>
      </c>
      <c r="H23" s="23">
        <f>'Sm Comm Cust Fcst'!$C24*'Non-Residential TSM UC Adj'!L22</f>
        <v>0</v>
      </c>
      <c r="I23" s="41">
        <f>IF(SUM(F23:H23)=0,0,SUM(F23:H23)/'Sm Comm Cust Fcst'!C24)</f>
        <v>0</v>
      </c>
      <c r="J23" s="109">
        <f>'Sm Comm Cust Fcst'!$D24*'Non-Residential TSM UC Adj'!J22</f>
        <v>0</v>
      </c>
      <c r="K23" s="23">
        <f>'Sm Comm Cust Fcst'!$D24*'Non-Residential TSM UC Adj'!K22</f>
        <v>0</v>
      </c>
      <c r="L23" s="23">
        <f>'Sm Comm Cust Fcst'!$D24*'Non-Residential TSM UC Adj'!L22</f>
        <v>0</v>
      </c>
      <c r="M23" s="41">
        <f>IF(SUM(J23:L23)=0,0,SUM(J23:L23)/'Sm Comm Cust Fcst'!D24)</f>
        <v>0</v>
      </c>
      <c r="N23" s="109">
        <f>'Sm Comm Cust Fcst'!$E24*'Non-Residential TSM UC Adj'!N22</f>
        <v>0</v>
      </c>
      <c r="O23" s="23">
        <f>'Sm Comm Cust Fcst'!$E24*'Non-Residential TSM UC Adj'!O22</f>
        <v>0</v>
      </c>
      <c r="P23" s="23">
        <f>'Sm Comm Cust Fcst'!$E24*'Non-Residential TSM UC Adj'!P22</f>
        <v>0</v>
      </c>
      <c r="Q23" s="41">
        <f>IF(SUM(N23:P23)=0,0,SUM(N23:P23)/'Sm Comm Cust Fcst'!E24)</f>
        <v>0</v>
      </c>
      <c r="R23" s="109">
        <f t="shared" si="2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Fcst'!F24)</f>
        <v>0</v>
      </c>
      <c r="V23" s="109">
        <f>'Sm Comm Cust Fcst'!$G24*'Non-Residential TSM UC Adj'!R22</f>
        <v>0</v>
      </c>
      <c r="W23" s="23">
        <f>'Sm Comm Cust Fcst'!$G24*'Non-Residential TSM UC Adj'!S22</f>
        <v>0</v>
      </c>
      <c r="X23" s="23">
        <f>'Sm Comm Cust Fcst'!$G24*'Non-Residential TSM UC Adj'!T22</f>
        <v>0</v>
      </c>
      <c r="Y23" s="41">
        <f>IF(SUM(V23:X23)=0,0,SUM(V23:X23)/'Sm Comm Cust Fcst'!G24)</f>
        <v>0</v>
      </c>
      <c r="Z23" s="109">
        <f t="shared" si="3"/>
        <v>0</v>
      </c>
      <c r="AA23" s="23">
        <f t="shared" si="1"/>
        <v>0</v>
      </c>
      <c r="AB23" s="23">
        <f t="shared" si="1"/>
        <v>0</v>
      </c>
      <c r="AC23" s="41">
        <f>IF(SUM(Z23:AB23)=0,0,SUM(Z23:AB23)/'Sm Comm Cust Fcst'!H24)</f>
        <v>0</v>
      </c>
    </row>
    <row r="24" spans="1:29" ht="13">
      <c r="A24" s="124" t="s">
        <v>15</v>
      </c>
      <c r="B24" s="109">
        <f>'Sm Comm Cust Fcst'!$B25*'Non-Residential TSM UC Adj'!J23</f>
        <v>0</v>
      </c>
      <c r="C24" s="23">
        <f>'Sm Comm Cust Fcst'!$B25*'Non-Residential TSM UC Adj'!K23</f>
        <v>0</v>
      </c>
      <c r="D24" s="23">
        <f>'Sm Comm Cust Fcst'!$B25*'Non-Residential TSM UC Adj'!L23</f>
        <v>0</v>
      </c>
      <c r="E24" s="41">
        <f>IF(SUM(B24:D24)=0,0,SUM(B24:D24)/'Sm Comm Cust Fcst'!B25)</f>
        <v>0</v>
      </c>
      <c r="F24" s="109">
        <f>'Sm Comm Cust Fcst'!$C25*'Non-Residential TSM UC Adj'!J23</f>
        <v>0</v>
      </c>
      <c r="G24" s="23">
        <f>'Sm Comm Cust Fcst'!$C25*'Non-Residential TSM UC Adj'!K23</f>
        <v>0</v>
      </c>
      <c r="H24" s="23">
        <f>'Sm Comm Cust Fcst'!$C25*'Non-Residential TSM UC Adj'!L23</f>
        <v>0</v>
      </c>
      <c r="I24" s="41">
        <f>IF(SUM(F24:H24)=0,0,SUM(F24:H24)/'Sm Comm Cust Fcst'!C25)</f>
        <v>0</v>
      </c>
      <c r="J24" s="109">
        <f>'Sm Comm Cust Fcst'!$D25*'Non-Residential TSM UC Adj'!J23</f>
        <v>0</v>
      </c>
      <c r="K24" s="23">
        <f>'Sm Comm Cust Fcst'!$D25*'Non-Residential TSM UC Adj'!K23</f>
        <v>0</v>
      </c>
      <c r="L24" s="23">
        <f>'Sm Comm Cust Fcst'!$D25*'Non-Residential TSM UC Adj'!L23</f>
        <v>0</v>
      </c>
      <c r="M24" s="41">
        <f>IF(SUM(J24:L24)=0,0,SUM(J24:L24)/'Sm Comm Cust Fcst'!D25)</f>
        <v>0</v>
      </c>
      <c r="N24" s="109">
        <f>'Sm Comm Cust Fcst'!$E25*'Non-Residential TSM UC Adj'!N23</f>
        <v>0</v>
      </c>
      <c r="O24" s="23">
        <f>'Sm Comm Cust Fcst'!$E25*'Non-Residential TSM UC Adj'!O23</f>
        <v>0</v>
      </c>
      <c r="P24" s="23">
        <f>'Sm Comm Cust Fcst'!$E25*'Non-Residential TSM UC Adj'!P23</f>
        <v>0</v>
      </c>
      <c r="Q24" s="41">
        <f>IF(SUM(N24:P24)=0,0,SUM(N24:P24)/'Sm Comm Cust Fcst'!E25)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IF(SUM(R24:T24)=0,0,SUM(R24:T24)/'Sm Comm Cust Fcst'!F25)</f>
        <v>0</v>
      </c>
      <c r="V24" s="109">
        <f>'Sm Comm Cust Fcst'!$G25*'Non-Residential TSM UC Adj'!R23</f>
        <v>0</v>
      </c>
      <c r="W24" s="23">
        <f>'Sm Comm Cust Fcst'!$G25*'Non-Residential TSM UC Adj'!S23</f>
        <v>0</v>
      </c>
      <c r="X24" s="23">
        <f>'Sm Comm Cust Fcst'!$G25*'Non-Residential TSM UC Adj'!T23</f>
        <v>0</v>
      </c>
      <c r="Y24" s="41">
        <f>IF(SUM(V24:X24)=0,0,SUM(V24:X24)/'Sm Comm Cust Fcst'!G25)</f>
        <v>0</v>
      </c>
      <c r="Z24" s="109">
        <f t="shared" si="3"/>
        <v>0</v>
      </c>
      <c r="AA24" s="23">
        <f t="shared" si="3"/>
        <v>0</v>
      </c>
      <c r="AB24" s="23">
        <f t="shared" si="3"/>
        <v>0</v>
      </c>
      <c r="AC24" s="41">
        <f>IF(SUM(Z24:AB24)=0,0,SUM(Z24:AB24)/'Sm Comm Cust Fcst'!H25)</f>
        <v>0</v>
      </c>
    </row>
    <row r="25" spans="1:29" ht="13">
      <c r="A25" s="124" t="s">
        <v>16</v>
      </c>
      <c r="B25" s="109">
        <f>'Sm Comm Cust Fcst'!$B26*'Non-Residential TSM UC Adj'!J24</f>
        <v>0</v>
      </c>
      <c r="C25" s="23">
        <f>'Sm Comm Cust Fcst'!$B26*'Non-Residential TSM UC Adj'!K24</f>
        <v>0</v>
      </c>
      <c r="D25" s="23">
        <f>'Sm Comm Cust Fcst'!$B26*'Non-Residential TSM UC Adj'!L24</f>
        <v>0</v>
      </c>
      <c r="E25" s="41">
        <f>IF(SUM(B25:D25)=0,0,SUM(B25:D25)/'Sm Comm Cust Fcst'!B26)</f>
        <v>0</v>
      </c>
      <c r="F25" s="109">
        <f>'Sm Comm Cust Fcst'!$C26*'Non-Residential TSM UC Adj'!J24</f>
        <v>0</v>
      </c>
      <c r="G25" s="23">
        <f>'Sm Comm Cust Fcst'!$C26*'Non-Residential TSM UC Adj'!K24</f>
        <v>0</v>
      </c>
      <c r="H25" s="23">
        <f>'Sm Comm Cust Fcst'!$C26*'Non-Residential TSM UC Adj'!L24</f>
        <v>0</v>
      </c>
      <c r="I25" s="41">
        <f>IF(SUM(F25:H25)=0,0,SUM(F25:H25)/'Sm Comm Cust Fcst'!C26)</f>
        <v>0</v>
      </c>
      <c r="J25" s="109">
        <f>'Sm Comm Cust Fcst'!$D26*'Non-Residential TSM UC Adj'!J24</f>
        <v>0</v>
      </c>
      <c r="K25" s="23">
        <f>'Sm Comm Cust Fcst'!$D26*'Non-Residential TSM UC Adj'!K24</f>
        <v>0</v>
      </c>
      <c r="L25" s="23">
        <f>'Sm Comm Cust Fcst'!$D26*'Non-Residential TSM UC Adj'!L24</f>
        <v>0</v>
      </c>
      <c r="M25" s="41">
        <f>IF(SUM(J25:L25)=0,0,SUM(J25:L25)/'Sm Comm Cust Fcst'!D26)</f>
        <v>0</v>
      </c>
      <c r="N25" s="109">
        <f>'Sm Comm Cust Fcst'!$E26*'Non-Residential TSM UC Adj'!N24</f>
        <v>0</v>
      </c>
      <c r="O25" s="23">
        <f>'Sm Comm Cust Fcst'!$E26*'Non-Residential TSM UC Adj'!O24</f>
        <v>0</v>
      </c>
      <c r="P25" s="23">
        <f>'Sm Comm Cust Fcst'!$E26*'Non-Residential TSM UC Adj'!P24</f>
        <v>0</v>
      </c>
      <c r="Q25" s="41">
        <f>IF(SUM(N25:P25)=0,0,SUM(N25:P25)/'Sm Comm Cust Fcst'!E26)</f>
        <v>0</v>
      </c>
      <c r="R25" s="109">
        <f t="shared" si="2"/>
        <v>0</v>
      </c>
      <c r="S25" s="23">
        <f t="shared" si="2"/>
        <v>0</v>
      </c>
      <c r="T25" s="23">
        <f t="shared" si="2"/>
        <v>0</v>
      </c>
      <c r="U25" s="41">
        <f>IF(SUM(R25:T25)=0,0,SUM(R25:T25)/'Sm Comm Cust Fcst'!F26)</f>
        <v>0</v>
      </c>
      <c r="V25" s="109">
        <f>'Sm Comm Cust Fcst'!$G26*'Non-Residential TSM UC Adj'!R24</f>
        <v>0</v>
      </c>
      <c r="W25" s="23">
        <f>'Sm Comm Cust Fcst'!$G26*'Non-Residential TSM UC Adj'!S24</f>
        <v>0</v>
      </c>
      <c r="X25" s="23">
        <f>'Sm Comm Cust Fcst'!$G26*'Non-Residential TSM UC Adj'!T24</f>
        <v>0</v>
      </c>
      <c r="Y25" s="41">
        <f>IF(SUM(V25:X25)=0,0,SUM(V25:X25)/'Sm Comm Cust Fcst'!G26)</f>
        <v>0</v>
      </c>
      <c r="Z25" s="109">
        <f t="shared" si="3"/>
        <v>0</v>
      </c>
      <c r="AA25" s="23">
        <f t="shared" si="3"/>
        <v>0</v>
      </c>
      <c r="AB25" s="23">
        <f t="shared" si="3"/>
        <v>0</v>
      </c>
      <c r="AC25" s="41">
        <f>IF(SUM(Z25:AB25)=0,0,SUM(Z25:AB25)/'Sm Comm Cust Fcst'!H26)</f>
        <v>0</v>
      </c>
    </row>
    <row r="26" spans="1:29" ht="13">
      <c r="A26" s="124" t="s">
        <v>17</v>
      </c>
      <c r="B26" s="109">
        <f>'Sm Comm Cust Fcst'!$B27*'Non-Residential TSM UC Adj'!J25</f>
        <v>0</v>
      </c>
      <c r="C26" s="23">
        <f>'Sm Comm Cust Fcst'!$B27*'Non-Residential TSM UC Adj'!K25</f>
        <v>0</v>
      </c>
      <c r="D26" s="23">
        <f>'Sm Comm Cust Fcst'!$B27*'Non-Residential TSM UC Adj'!L25</f>
        <v>0</v>
      </c>
      <c r="E26" s="41">
        <f>IF(SUM(B26:D26)=0,0,SUM(B26:D26)/'Sm Comm Cust Fcst'!B27)</f>
        <v>0</v>
      </c>
      <c r="F26" s="109">
        <f>'Sm Comm Cust Fcst'!$C27*'Non-Residential TSM UC Adj'!J25</f>
        <v>0</v>
      </c>
      <c r="G26" s="23">
        <f>'Sm Comm Cust Fcst'!$C27*'Non-Residential TSM UC Adj'!K25</f>
        <v>0</v>
      </c>
      <c r="H26" s="23">
        <f>'Sm Comm Cust Fcst'!$C27*'Non-Residential TSM UC Adj'!L25</f>
        <v>0</v>
      </c>
      <c r="I26" s="41">
        <f>IF(SUM(F26:H26)=0,0,SUM(F26:H26)/'Sm Comm Cust Fcst'!C27)</f>
        <v>0</v>
      </c>
      <c r="J26" s="109">
        <f>'Sm Comm Cust Fcst'!$D27*'Non-Residential TSM UC Adj'!J25</f>
        <v>0</v>
      </c>
      <c r="K26" s="23">
        <f>'Sm Comm Cust Fcst'!$D27*'Non-Residential TSM UC Adj'!K25</f>
        <v>0</v>
      </c>
      <c r="L26" s="23">
        <f>'Sm Comm Cust Fcst'!$D27*'Non-Residential TSM UC Adj'!L25</f>
        <v>0</v>
      </c>
      <c r="M26" s="41">
        <f>IF(SUM(J26:L26)=0,0,SUM(J26:L26)/'Sm Comm Cust Fcst'!D27)</f>
        <v>0</v>
      </c>
      <c r="N26" s="109">
        <f>'Sm Comm Cust Fcst'!$E27*'Non-Residential TSM UC Adj'!N25</f>
        <v>0</v>
      </c>
      <c r="O26" s="23">
        <f>'Sm Comm Cust Fcst'!$E27*'Non-Residential TSM UC Adj'!O25</f>
        <v>0</v>
      </c>
      <c r="P26" s="23">
        <f>'Sm Comm Cust Fcst'!$E27*'Non-Residential TSM UC Adj'!P25</f>
        <v>0</v>
      </c>
      <c r="Q26" s="41">
        <f>IF(SUM(N26:P26)=0,0,SUM(N26:P26)/'Sm Comm Cust Fcst'!E27)</f>
        <v>0</v>
      </c>
      <c r="R26" s="109">
        <f t="shared" si="2"/>
        <v>0</v>
      </c>
      <c r="S26" s="23">
        <f t="shared" si="2"/>
        <v>0</v>
      </c>
      <c r="T26" s="23">
        <f t="shared" si="2"/>
        <v>0</v>
      </c>
      <c r="U26" s="41">
        <f>IF(SUM(R26:T26)=0,0,SUM(R26:T26)/'Sm Comm Cust Fcst'!F27)</f>
        <v>0</v>
      </c>
      <c r="V26" s="109">
        <f>'Sm Comm Cust Fcst'!$G27*'Non-Residential TSM UC Adj'!R25</f>
        <v>0</v>
      </c>
      <c r="W26" s="23">
        <f>'Sm Comm Cust Fcst'!$G27*'Non-Residential TSM UC Adj'!S25</f>
        <v>0</v>
      </c>
      <c r="X26" s="23">
        <f>'Sm Comm Cust Fcst'!$G27*'Non-Residential TSM UC Adj'!T25</f>
        <v>0</v>
      </c>
      <c r="Y26" s="41">
        <f>IF(SUM(V26:X26)=0,0,SUM(V26:X26)/'Sm Comm Cust Fcst'!G27)</f>
        <v>0</v>
      </c>
      <c r="Z26" s="109">
        <f t="shared" si="3"/>
        <v>0</v>
      </c>
      <c r="AA26" s="23">
        <f t="shared" si="3"/>
        <v>0</v>
      </c>
      <c r="AB26" s="23">
        <f t="shared" si="3"/>
        <v>0</v>
      </c>
      <c r="AC26" s="41">
        <f>IF(SUM(Z26:AB26)=0,0,SUM(Z26:AB26)/'Sm Comm Cust Fcst'!H27)</f>
        <v>0</v>
      </c>
    </row>
    <row r="27" spans="1:29" ht="13">
      <c r="A27" s="124" t="s">
        <v>18</v>
      </c>
      <c r="B27" s="109">
        <f>'Sm Comm Cust Fcst'!$B28*'Non-Residential TSM UC Adj'!J26</f>
        <v>0</v>
      </c>
      <c r="C27" s="23">
        <f>'Sm Comm Cust Fcst'!$B28*'Non-Residential TSM UC Adj'!K26</f>
        <v>0</v>
      </c>
      <c r="D27" s="23">
        <f>'Sm Comm Cust Fcst'!$B28*'Non-Residential TSM UC Adj'!L26</f>
        <v>0</v>
      </c>
      <c r="E27" s="41">
        <f>IF(SUM(B27:D27)=0,0,SUM(B27:D27)/'Sm Comm Cust Fcst'!B28)</f>
        <v>0</v>
      </c>
      <c r="F27" s="109">
        <f>'Sm Comm Cust Fcst'!$C28*'Non-Residential TSM UC Adj'!J26</f>
        <v>0</v>
      </c>
      <c r="G27" s="23">
        <f>'Sm Comm Cust Fcst'!$C28*'Non-Residential TSM UC Adj'!K26</f>
        <v>0</v>
      </c>
      <c r="H27" s="23">
        <f>'Sm Comm Cust Fcst'!$C28*'Non-Residential TSM UC Adj'!L26</f>
        <v>0</v>
      </c>
      <c r="I27" s="41">
        <f>IF(SUM(F27:H27)=0,0,SUM(F27:H27)/'Sm Comm Cust Fcst'!C28)</f>
        <v>0</v>
      </c>
      <c r="J27" s="109">
        <f>'Sm Comm Cust Fcst'!$D28*'Non-Residential TSM UC Adj'!J26</f>
        <v>0</v>
      </c>
      <c r="K27" s="23">
        <f>'Sm Comm Cust Fcst'!$D28*'Non-Residential TSM UC Adj'!K26</f>
        <v>0</v>
      </c>
      <c r="L27" s="23">
        <f>'Sm Comm Cust Fcst'!$D28*'Non-Residential TSM UC Adj'!L26</f>
        <v>0</v>
      </c>
      <c r="M27" s="41">
        <f>IF(SUM(J27:L27)=0,0,SUM(J27:L27)/'Sm Comm Cust Fcst'!D28)</f>
        <v>0</v>
      </c>
      <c r="N27" s="109">
        <f>'Sm Comm Cust Fcst'!$E28*'Non-Residential TSM UC Adj'!N26</f>
        <v>0</v>
      </c>
      <c r="O27" s="23">
        <f>'Sm Comm Cust Fcst'!$E28*'Non-Residential TSM UC Adj'!O26</f>
        <v>0</v>
      </c>
      <c r="P27" s="23">
        <f>'Sm Comm Cust Fcst'!$E28*'Non-Residential TSM UC Adj'!P26</f>
        <v>0</v>
      </c>
      <c r="Q27" s="41">
        <f>IF(SUM(N27:P27)=0,0,SUM(N27:P27)/'Sm Comm Cust Fcst'!E28)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IF(SUM(R27:T27)=0,0,SUM(R27:T27)/'Sm Comm Cust Fcst'!F28)</f>
        <v>0</v>
      </c>
      <c r="V27" s="109">
        <f>'Sm Comm Cust Fcst'!$G28*'Non-Residential TSM UC Adj'!R26</f>
        <v>0</v>
      </c>
      <c r="W27" s="23">
        <f>'Sm Comm Cust Fcst'!$G28*'Non-Residential TSM UC Adj'!S26</f>
        <v>0</v>
      </c>
      <c r="X27" s="23">
        <f>'Sm Comm Cust Fcst'!$G28*'Non-Residential TSM UC Adj'!T26</f>
        <v>0</v>
      </c>
      <c r="Y27" s="41">
        <f>IF(SUM(V27:X27)=0,0,SUM(V27:X27)/'Sm Comm Cust Fcst'!G28)</f>
        <v>0</v>
      </c>
      <c r="Z27" s="109">
        <f t="shared" si="3"/>
        <v>0</v>
      </c>
      <c r="AA27" s="23">
        <f t="shared" si="3"/>
        <v>0</v>
      </c>
      <c r="AB27" s="23">
        <f t="shared" si="3"/>
        <v>0</v>
      </c>
      <c r="AC27" s="41">
        <f>IF(SUM(Z27:AB27)=0,0,SUM(Z27:AB27)/'Sm Comm Cust Fcst'!H28)</f>
        <v>0</v>
      </c>
    </row>
    <row r="28" spans="1:29" ht="13">
      <c r="A28" s="124" t="s">
        <v>19</v>
      </c>
      <c r="B28" s="109">
        <f>'Sm Comm Cust Fcst'!$B29*'Non-Residential TSM UC Adj'!J27</f>
        <v>0</v>
      </c>
      <c r="C28" s="23">
        <f>'Sm Comm Cust Fcst'!$B29*'Non-Residential TSM UC Adj'!K27</f>
        <v>0</v>
      </c>
      <c r="D28" s="23">
        <f>'Sm Comm Cust Fcst'!$B29*'Non-Residential TSM UC Adj'!L27</f>
        <v>0</v>
      </c>
      <c r="E28" s="41">
        <f>IF(SUM(B28:D28)=0,0,SUM(B28:D28)/'Sm Comm Cust Fcst'!B29)</f>
        <v>0</v>
      </c>
      <c r="F28" s="109">
        <f>'Sm Comm Cust Fcst'!$C29*'Non-Residential TSM UC Adj'!J27</f>
        <v>0</v>
      </c>
      <c r="G28" s="23">
        <f>'Sm Comm Cust Fcst'!$C29*'Non-Residential TSM UC Adj'!K27</f>
        <v>0</v>
      </c>
      <c r="H28" s="23">
        <f>'Sm Comm Cust Fcst'!$C29*'Non-Residential TSM UC Adj'!L27</f>
        <v>0</v>
      </c>
      <c r="I28" s="41">
        <f>IF(SUM(F28:H28)=0,0,SUM(F28:H28)/'Sm Comm Cust Fcst'!C29)</f>
        <v>0</v>
      </c>
      <c r="J28" s="109">
        <f>'Sm Comm Cust Fcst'!$D29*'Non-Residential TSM UC Adj'!J27</f>
        <v>0</v>
      </c>
      <c r="K28" s="23">
        <f>'Sm Comm Cust Fcst'!$D29*'Non-Residential TSM UC Adj'!K27</f>
        <v>0</v>
      </c>
      <c r="L28" s="23">
        <f>'Sm Comm Cust Fcst'!$D29*'Non-Residential TSM UC Adj'!L27</f>
        <v>0</v>
      </c>
      <c r="M28" s="41">
        <f>IF(SUM(J28:L28)=0,0,SUM(J28:L28)/'Sm Comm Cust Fcst'!D29)</f>
        <v>0</v>
      </c>
      <c r="N28" s="109">
        <f>'Sm Comm Cust Fcst'!$E29*'Non-Residential TSM UC Adj'!N27</f>
        <v>0</v>
      </c>
      <c r="O28" s="23">
        <f>'Sm Comm Cust Fcst'!$E29*'Non-Residential TSM UC Adj'!O27</f>
        <v>0</v>
      </c>
      <c r="P28" s="23">
        <f>'Sm Comm Cust Fcst'!$E29*'Non-Residential TSM UC Adj'!P27</f>
        <v>0</v>
      </c>
      <c r="Q28" s="41">
        <f>IF(SUM(N28:P28)=0,0,SUM(N28:P28)/'Sm Comm Cust Fcst'!E29)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IF(SUM(R28:T28)=0,0,SUM(R28:T28)/'Sm Comm Cust Fcst'!F29)</f>
        <v>0</v>
      </c>
      <c r="V28" s="109">
        <f>'Sm Comm Cust Fcst'!$G29*'Non-Residential TSM UC Adj'!R27</f>
        <v>0</v>
      </c>
      <c r="W28" s="23">
        <f>'Sm Comm Cust Fcst'!$G29*'Non-Residential TSM UC Adj'!S27</f>
        <v>0</v>
      </c>
      <c r="X28" s="23">
        <f>'Sm Comm Cust Fcst'!$G29*'Non-Residential TSM UC Adj'!T27</f>
        <v>0</v>
      </c>
      <c r="Y28" s="41">
        <f>IF(SUM(V28:X28)=0,0,SUM(V28:X28)/'Sm Comm Cust Fcst'!G29)</f>
        <v>0</v>
      </c>
      <c r="Z28" s="109">
        <f t="shared" si="3"/>
        <v>0</v>
      </c>
      <c r="AA28" s="23">
        <f t="shared" si="3"/>
        <v>0</v>
      </c>
      <c r="AB28" s="23">
        <f t="shared" si="3"/>
        <v>0</v>
      </c>
      <c r="AC28" s="41">
        <f>IF(SUM(Z28:AB28)=0,0,SUM(Z28:AB28)/'Sm Comm Cust Fcst'!H29)</f>
        <v>0</v>
      </c>
    </row>
    <row r="29" spans="1:29" ht="13">
      <c r="A29" s="124" t="s">
        <v>20</v>
      </c>
      <c r="B29" s="109">
        <f>'Sm Comm Cust Fcst'!$B30*'Non-Residential TSM UC Adj'!J28</f>
        <v>0</v>
      </c>
      <c r="C29" s="23">
        <f>'Sm Comm Cust Fcst'!$B30*'Non-Residential TSM UC Adj'!K28</f>
        <v>0</v>
      </c>
      <c r="D29" s="23">
        <f>'Sm Comm Cust Fcst'!$B30*'Non-Residential TSM UC Adj'!L28</f>
        <v>0</v>
      </c>
      <c r="E29" s="41">
        <f>IF(SUM(B29:D29)=0,0,SUM(B29:D29)/'Sm Comm Cust Fcst'!B30)</f>
        <v>0</v>
      </c>
      <c r="F29" s="109">
        <f>'Sm Comm Cust Fcst'!$C30*'Non-Residential TSM UC Adj'!J28</f>
        <v>0</v>
      </c>
      <c r="G29" s="23">
        <f>'Sm Comm Cust Fcst'!$C30*'Non-Residential TSM UC Adj'!K28</f>
        <v>0</v>
      </c>
      <c r="H29" s="23">
        <f>'Sm Comm Cust Fcst'!$C30*'Non-Residential TSM UC Adj'!L28</f>
        <v>0</v>
      </c>
      <c r="I29" s="41">
        <f>IF(SUM(F29:H29)=0,0,SUM(F29:H29)/'Sm Comm Cust Fcst'!C30)</f>
        <v>0</v>
      </c>
      <c r="J29" s="109">
        <f>'Sm Comm Cust Fcst'!$D30*'Non-Residential TSM UC Adj'!J28</f>
        <v>0</v>
      </c>
      <c r="K29" s="23">
        <f>'Sm Comm Cust Fcst'!$D30*'Non-Residential TSM UC Adj'!K28</f>
        <v>0</v>
      </c>
      <c r="L29" s="23">
        <f>'Sm Comm Cust Fcst'!$D30*'Non-Residential TSM UC Adj'!L28</f>
        <v>0</v>
      </c>
      <c r="M29" s="41">
        <f>IF(SUM(J29:L29)=0,0,SUM(J29:L29)/'Sm Comm Cust Fcst'!D30)</f>
        <v>0</v>
      </c>
      <c r="N29" s="109">
        <f>'Sm Comm Cust Fcst'!$E30*'Non-Residential TSM UC Adj'!N28</f>
        <v>0</v>
      </c>
      <c r="O29" s="23">
        <f>'Sm Comm Cust Fcst'!$E30*'Non-Residential TSM UC Adj'!O28</f>
        <v>0</v>
      </c>
      <c r="P29" s="23">
        <f>'Sm Comm Cust Fcst'!$E30*'Non-Residential TSM UC Adj'!P28</f>
        <v>0</v>
      </c>
      <c r="Q29" s="41">
        <f>IF(SUM(N29:P29)=0,0,SUM(N29:P29)/'Sm Comm Cust Fcst'!E30)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IF(SUM(R29:T29)=0,0,SUM(R29:T29)/'Sm Comm Cust Fcst'!F30)</f>
        <v>0</v>
      </c>
      <c r="V29" s="109">
        <f>'Sm Comm Cust Fcst'!$G30*'Non-Residential TSM UC Adj'!R28</f>
        <v>0</v>
      </c>
      <c r="W29" s="23">
        <f>'Sm Comm Cust Fcst'!$G30*'Non-Residential TSM UC Adj'!S28</f>
        <v>0</v>
      </c>
      <c r="X29" s="23">
        <f>'Sm Comm Cust Fcst'!$G30*'Non-Residential TSM UC Adj'!T28</f>
        <v>0</v>
      </c>
      <c r="Y29" s="41">
        <f>IF(SUM(V29:X29)=0,0,SUM(V29:X29)/'Sm Comm Cust Fcst'!G30)</f>
        <v>0</v>
      </c>
      <c r="Z29" s="109">
        <f t="shared" si="3"/>
        <v>0</v>
      </c>
      <c r="AA29" s="23">
        <f t="shared" si="3"/>
        <v>0</v>
      </c>
      <c r="AB29" s="23">
        <f t="shared" si="3"/>
        <v>0</v>
      </c>
      <c r="AC29" s="41">
        <f>IF(SUM(Z29:AB29)=0,0,SUM(Z29:AB29)/'Sm Comm Cust Fcst'!H30)</f>
        <v>0</v>
      </c>
    </row>
    <row r="30" spans="1:29" ht="13">
      <c r="A30" s="124" t="s">
        <v>21</v>
      </c>
      <c r="B30" s="109">
        <f>'Sm Comm Cust Fcst'!$B31*'Non-Residential TSM UC Adj'!J29</f>
        <v>0</v>
      </c>
      <c r="C30" s="23">
        <f>'Sm Comm Cust Fcst'!$B31*'Non-Residential TSM UC Adj'!K29</f>
        <v>0</v>
      </c>
      <c r="D30" s="23">
        <f>'Sm Comm Cust Fcst'!$B31*'Non-Residential TSM UC Adj'!L29</f>
        <v>0</v>
      </c>
      <c r="E30" s="41">
        <f>IF(SUM(B30:D30)=0,0,SUM(B30:D30)/'Sm Comm Cust Fcst'!B31)</f>
        <v>0</v>
      </c>
      <c r="F30" s="109">
        <f>'Sm Comm Cust Fcst'!$C31*'Non-Residential TSM UC Adj'!J29</f>
        <v>0</v>
      </c>
      <c r="G30" s="23">
        <f>'Sm Comm Cust Fcst'!$C31*'Non-Residential TSM UC Adj'!K29</f>
        <v>0</v>
      </c>
      <c r="H30" s="23">
        <f>'Sm Comm Cust Fcst'!$C31*'Non-Residential TSM UC Adj'!L29</f>
        <v>0</v>
      </c>
      <c r="I30" s="41">
        <f>IF(SUM(F30:H30)=0,0,SUM(F30:H30)/'Sm Comm Cust Fcst'!C31)</f>
        <v>0</v>
      </c>
      <c r="J30" s="109">
        <f>'Sm Comm Cust Fcst'!$D31*'Non-Residential TSM UC Adj'!J29</f>
        <v>0</v>
      </c>
      <c r="K30" s="23">
        <f>'Sm Comm Cust Fcst'!$D31*'Non-Residential TSM UC Adj'!K29</f>
        <v>0</v>
      </c>
      <c r="L30" s="23">
        <f>'Sm Comm Cust Fcst'!$D31*'Non-Residential TSM UC Adj'!L29</f>
        <v>0</v>
      </c>
      <c r="M30" s="41">
        <f>IF(SUM(J30:L30)=0,0,SUM(J30:L30)/'Sm Comm Cust Fcst'!D31)</f>
        <v>0</v>
      </c>
      <c r="N30" s="109">
        <f>'Sm Comm Cust Fcst'!$E31*'Non-Residential TSM UC Adj'!N29</f>
        <v>0</v>
      </c>
      <c r="O30" s="23">
        <f>'Sm Comm Cust Fcst'!$E31*'Non-Residential TSM UC Adj'!O29</f>
        <v>0</v>
      </c>
      <c r="P30" s="23">
        <f>'Sm Comm Cust Fcst'!$E31*'Non-Residential TSM UC Adj'!P29</f>
        <v>0</v>
      </c>
      <c r="Q30" s="41">
        <f>IF(SUM(N30:P30)=0,0,SUM(N30:P30)/'Sm Comm Cust Fcst'!E31)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IF(SUM(R30:T30)=0,0,SUM(R30:T30)/'Sm Comm Cust Fcst'!F31)</f>
        <v>0</v>
      </c>
      <c r="V30" s="109">
        <f>'Sm Comm Cust Fcst'!$G31*'Non-Residential TSM UC Adj'!R29</f>
        <v>0</v>
      </c>
      <c r="W30" s="23">
        <f>'Sm Comm Cust Fcst'!$G31*'Non-Residential TSM UC Adj'!S29</f>
        <v>0</v>
      </c>
      <c r="X30" s="23">
        <f>'Sm Comm Cust Fcst'!$G31*'Non-Residential TSM UC Adj'!T29</f>
        <v>0</v>
      </c>
      <c r="Y30" s="41">
        <f>IF(SUM(V30:X30)=0,0,SUM(V30:X30)/'Sm Comm Cust Fcst'!G31)</f>
        <v>0</v>
      </c>
      <c r="Z30" s="109">
        <f t="shared" si="3"/>
        <v>0</v>
      </c>
      <c r="AA30" s="23">
        <f t="shared" si="3"/>
        <v>0</v>
      </c>
      <c r="AB30" s="23">
        <f t="shared" si="3"/>
        <v>0</v>
      </c>
      <c r="AC30" s="41">
        <f>IF(SUM(Z30:AB30)=0,0,SUM(Z30:AB30)/'Sm Comm Cust Fcst'!H31)</f>
        <v>0</v>
      </c>
    </row>
    <row r="31" spans="1:29" ht="13">
      <c r="A31" s="124" t="s">
        <v>22</v>
      </c>
      <c r="B31" s="109">
        <f>'Sm Comm Cust Fcst'!$B32*'Non-Residential TSM UC Adj'!J30</f>
        <v>0</v>
      </c>
      <c r="C31" s="23">
        <f>'Sm Comm Cust Fcst'!$B32*'Non-Residential TSM UC Adj'!K30</f>
        <v>0</v>
      </c>
      <c r="D31" s="23">
        <f>'Sm Comm Cust Fcst'!$B32*'Non-Residential TSM UC Adj'!L30</f>
        <v>0</v>
      </c>
      <c r="E31" s="41">
        <f>IF(SUM(B31:D31)=0,0,SUM(B31:D31)/'Sm Comm Cust Fcst'!B32)</f>
        <v>0</v>
      </c>
      <c r="F31" s="109">
        <f>'Sm Comm Cust Fcst'!$C32*'Non-Residential TSM UC Adj'!J30</f>
        <v>0</v>
      </c>
      <c r="G31" s="23">
        <f>'Sm Comm Cust Fcst'!$C32*'Non-Residential TSM UC Adj'!K30</f>
        <v>0</v>
      </c>
      <c r="H31" s="23">
        <f>'Sm Comm Cust Fcst'!$C32*'Non-Residential TSM UC Adj'!L30</f>
        <v>0</v>
      </c>
      <c r="I31" s="41">
        <f>IF(SUM(F31:H31)=0,0,SUM(F31:H31)/'Sm Comm Cust Fcst'!C32)</f>
        <v>0</v>
      </c>
      <c r="J31" s="109">
        <f>'Sm Comm Cust Fcst'!$D32*'Non-Residential TSM UC Adj'!J30</f>
        <v>0</v>
      </c>
      <c r="K31" s="23">
        <f>'Sm Comm Cust Fcst'!$D32*'Non-Residential TSM UC Adj'!K30</f>
        <v>0</v>
      </c>
      <c r="L31" s="23">
        <f>'Sm Comm Cust Fcst'!$D32*'Non-Residential TSM UC Adj'!L30</f>
        <v>0</v>
      </c>
      <c r="M31" s="41">
        <f>IF(SUM(J31:L31)=0,0,SUM(J31:L31)/'Sm Comm Cust Fcst'!D32)</f>
        <v>0</v>
      </c>
      <c r="N31" s="109">
        <f>'Sm Comm Cust Fcst'!$E32*'Non-Residential TSM UC Adj'!N30</f>
        <v>0</v>
      </c>
      <c r="O31" s="23">
        <f>'Sm Comm Cust Fcst'!$E32*'Non-Residential TSM UC Adj'!O30</f>
        <v>0</v>
      </c>
      <c r="P31" s="23">
        <f>'Sm Comm Cust Fcst'!$E32*'Non-Residential TSM UC Adj'!P30</f>
        <v>0</v>
      </c>
      <c r="Q31" s="41">
        <f>IF(SUM(N31:P31)=0,0,SUM(N31:P31)/'Sm Comm Cust Fcst'!E32)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IF(SUM(R31:T31)=0,0,SUM(R31:T31)/'Sm Comm Cust Fcst'!F32)</f>
        <v>0</v>
      </c>
      <c r="V31" s="109">
        <f>'Sm Comm Cust Fcst'!$G32*'Non-Residential TSM UC Adj'!R30</f>
        <v>0</v>
      </c>
      <c r="W31" s="23">
        <f>'Sm Comm Cust Fcst'!$G32*'Non-Residential TSM UC Adj'!S30</f>
        <v>0</v>
      </c>
      <c r="X31" s="23">
        <f>'Sm Comm Cust Fcst'!$G32*'Non-Residential TSM UC Adj'!T30</f>
        <v>0</v>
      </c>
      <c r="Y31" s="41">
        <f>IF(SUM(V31:X31)=0,0,SUM(V31:X31)/'Sm Comm Cust Fcst'!G32)</f>
        <v>0</v>
      </c>
      <c r="Z31" s="109">
        <f t="shared" si="3"/>
        <v>0</v>
      </c>
      <c r="AA31" s="23">
        <f t="shared" si="3"/>
        <v>0</v>
      </c>
      <c r="AB31" s="23">
        <f t="shared" si="3"/>
        <v>0</v>
      </c>
      <c r="AC31" s="41">
        <f>IF(SUM(Z31:AB31)=0,0,SUM(Z31:AB31)/'Sm Comm Cust Fcst'!H32)</f>
        <v>0</v>
      </c>
    </row>
    <row r="32" spans="1:29" ht="13">
      <c r="A32" s="124" t="s">
        <v>23</v>
      </c>
      <c r="B32" s="109">
        <f>'Sm Comm Cust Fcst'!$B33*'Non-Residential TSM UC Adj'!J31</f>
        <v>0</v>
      </c>
      <c r="C32" s="23">
        <f>'Sm Comm Cust Fcst'!$B33*'Non-Residential TSM UC Adj'!K31</f>
        <v>0</v>
      </c>
      <c r="D32" s="23">
        <f>'Sm Comm Cust Fcst'!$B33*'Non-Residential TSM UC Adj'!L31</f>
        <v>0</v>
      </c>
      <c r="E32" s="41">
        <f>IF(SUM(B32:D32)=0,0,SUM(B32:D32)/'Sm Comm Cust Fcst'!B33)</f>
        <v>0</v>
      </c>
      <c r="F32" s="109">
        <f>'Sm Comm Cust Fcst'!$C33*'Non-Residential TSM UC Adj'!J31</f>
        <v>0</v>
      </c>
      <c r="G32" s="23">
        <f>'Sm Comm Cust Fcst'!$C33*'Non-Residential TSM UC Adj'!K31</f>
        <v>0</v>
      </c>
      <c r="H32" s="23">
        <f>'Sm Comm Cust Fcst'!$C33*'Non-Residential TSM UC Adj'!L31</f>
        <v>0</v>
      </c>
      <c r="I32" s="41">
        <f>IF(SUM(F32:H32)=0,0,SUM(F32:H32)/'Sm Comm Cust Fcst'!C33)</f>
        <v>0</v>
      </c>
      <c r="J32" s="109">
        <f>'Sm Comm Cust Fcst'!$D33*'Non-Residential TSM UC Adj'!J31</f>
        <v>0</v>
      </c>
      <c r="K32" s="23">
        <f>'Sm Comm Cust Fcst'!$D33*'Non-Residential TSM UC Adj'!K31</f>
        <v>0</v>
      </c>
      <c r="L32" s="23">
        <f>'Sm Comm Cust Fcst'!$D33*'Non-Residential TSM UC Adj'!L31</f>
        <v>0</v>
      </c>
      <c r="M32" s="41">
        <f>IF(SUM(J32:L32)=0,0,SUM(J32:L32)/'Sm Comm Cust Fcst'!D33)</f>
        <v>0</v>
      </c>
      <c r="N32" s="109">
        <f>'Sm Comm Cust Fcst'!$E33*'Non-Residential TSM UC Adj'!N31</f>
        <v>0</v>
      </c>
      <c r="O32" s="23">
        <f>'Sm Comm Cust Fcst'!$E33*'Non-Residential TSM UC Adj'!O31</f>
        <v>0</v>
      </c>
      <c r="P32" s="23">
        <f>'Sm Comm Cust Fcst'!$E33*'Non-Residential TSM UC Adj'!P31</f>
        <v>0</v>
      </c>
      <c r="Q32" s="41">
        <f>IF(SUM(N32:P32)=0,0,SUM(N32:P32)/'Sm Comm Cust Fcst'!E33)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IF(SUM(R32:T32)=0,0,SUM(R32:T32)/'Sm Comm Cust Fcst'!F33)</f>
        <v>0</v>
      </c>
      <c r="V32" s="109">
        <f>'Sm Comm Cust Fcst'!$G33*'Non-Residential TSM UC Adj'!R31</f>
        <v>0</v>
      </c>
      <c r="W32" s="23">
        <f>'Sm Comm Cust Fcst'!$G33*'Non-Residential TSM UC Adj'!S31</f>
        <v>0</v>
      </c>
      <c r="X32" s="23">
        <f>'Sm Comm Cust Fcst'!$G33*'Non-Residential TSM UC Adj'!T31</f>
        <v>0</v>
      </c>
      <c r="Y32" s="41">
        <f>IF(SUM(V32:X32)=0,0,SUM(V32:X32)/'Sm Comm Cust Fcst'!G33)</f>
        <v>0</v>
      </c>
      <c r="Z32" s="109">
        <f t="shared" si="3"/>
        <v>0</v>
      </c>
      <c r="AA32" s="23">
        <f t="shared" si="3"/>
        <v>0</v>
      </c>
      <c r="AB32" s="23">
        <f t="shared" si="3"/>
        <v>0</v>
      </c>
      <c r="AC32" s="41">
        <f>IF(SUM(Z32:AB32)=0,0,SUM(Z32:AB32)/'Sm Comm Cust Fcst'!H33)</f>
        <v>0</v>
      </c>
    </row>
    <row r="33" spans="1:29" ht="13">
      <c r="A33" s="124" t="s">
        <v>24</v>
      </c>
      <c r="B33" s="109">
        <f>'Sm Comm Cust Fcst'!$B34*'Non-Residential TSM UC Adj'!J32</f>
        <v>0</v>
      </c>
      <c r="C33" s="23">
        <f>'Sm Comm Cust Fcst'!$B34*'Non-Residential TSM UC Adj'!K32</f>
        <v>0</v>
      </c>
      <c r="D33" s="23">
        <f>'Sm Comm Cust Fcst'!$B34*'Non-Residential TSM UC Adj'!L32</f>
        <v>0</v>
      </c>
      <c r="E33" s="41">
        <f>IF(SUM(B33:D33)=0,0,SUM(B33:D33)/'Sm Comm Cust Fcst'!B34)</f>
        <v>0</v>
      </c>
      <c r="F33" s="109">
        <f>'Sm Comm Cust Fcst'!$C34*'Non-Residential TSM UC Adj'!J32</f>
        <v>0</v>
      </c>
      <c r="G33" s="23">
        <f>'Sm Comm Cust Fcst'!$C34*'Non-Residential TSM UC Adj'!K32</f>
        <v>0</v>
      </c>
      <c r="H33" s="23">
        <f>'Sm Comm Cust Fcst'!$C34*'Non-Residential TSM UC Adj'!L32</f>
        <v>0</v>
      </c>
      <c r="I33" s="41">
        <f>IF(SUM(F33:H33)=0,0,SUM(F33:H33)/'Sm Comm Cust Fcst'!C34)</f>
        <v>0</v>
      </c>
      <c r="J33" s="109">
        <f>'Sm Comm Cust Fcst'!$D34*'Non-Residential TSM UC Adj'!J32</f>
        <v>0</v>
      </c>
      <c r="K33" s="23">
        <f>'Sm Comm Cust Fcst'!$D34*'Non-Residential TSM UC Adj'!K32</f>
        <v>0</v>
      </c>
      <c r="L33" s="23">
        <f>'Sm Comm Cust Fcst'!$D34*'Non-Residential TSM UC Adj'!L32</f>
        <v>0</v>
      </c>
      <c r="M33" s="41">
        <f>IF(SUM(J33:L33)=0,0,SUM(J33:L33)/'Sm Comm Cust Fcst'!D34)</f>
        <v>0</v>
      </c>
      <c r="N33" s="109">
        <f>'Sm Comm Cust Fcst'!$E34*'Non-Residential TSM UC Adj'!N32</f>
        <v>0</v>
      </c>
      <c r="O33" s="23">
        <f>'Sm Comm Cust Fcst'!$E34*'Non-Residential TSM UC Adj'!O32</f>
        <v>0</v>
      </c>
      <c r="P33" s="23">
        <f>'Sm Comm Cust Fcst'!$E34*'Non-Residential TSM UC Adj'!P32</f>
        <v>0</v>
      </c>
      <c r="Q33" s="41">
        <f>IF(SUM(N33:P33)=0,0,SUM(N33:P33)/'Sm Comm Cust Fcst'!E34)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IF(SUM(R33:T33)=0,0,SUM(R33:T33)/'Sm Comm Cust Fcst'!F34)</f>
        <v>0</v>
      </c>
      <c r="V33" s="109">
        <f>'Sm Comm Cust Fcst'!$G34*'Non-Residential TSM UC Adj'!R32</f>
        <v>0</v>
      </c>
      <c r="W33" s="23">
        <f>'Sm Comm Cust Fcst'!$G34*'Non-Residential TSM UC Adj'!S32</f>
        <v>0</v>
      </c>
      <c r="X33" s="23">
        <f>'Sm Comm Cust Fcst'!$G34*'Non-Residential TSM UC Adj'!T32</f>
        <v>0</v>
      </c>
      <c r="Y33" s="41">
        <f>IF(SUM(V33:X33)=0,0,SUM(V33:X33)/'Sm Comm Cust Fcst'!G34)</f>
        <v>0</v>
      </c>
      <c r="Z33" s="109">
        <f t="shared" si="3"/>
        <v>0</v>
      </c>
      <c r="AA33" s="23">
        <f t="shared" si="3"/>
        <v>0</v>
      </c>
      <c r="AB33" s="23">
        <f t="shared" si="3"/>
        <v>0</v>
      </c>
      <c r="AC33" s="41">
        <f>IF(SUM(Z33:AB33)=0,0,SUM(Z33:AB33)/'Sm Comm Cust Fcst'!H34)</f>
        <v>0</v>
      </c>
    </row>
    <row r="34" spans="1:29" ht="13">
      <c r="A34" s="124" t="s">
        <v>25</v>
      </c>
      <c r="B34" s="109">
        <f>'Sm Comm Cust Fcst'!$B35*'Non-Residential TSM UC Adj'!J33</f>
        <v>0</v>
      </c>
      <c r="C34" s="23">
        <f>'Sm Comm Cust Fcst'!$B35*'Non-Residential TSM UC Adj'!K33</f>
        <v>0</v>
      </c>
      <c r="D34" s="23">
        <f>'Sm Comm Cust Fcst'!$B35*'Non-Residential TSM UC Adj'!L33</f>
        <v>0</v>
      </c>
      <c r="E34" s="41">
        <f>IF(SUM(B34:D34)=0,0,SUM(B34:D34)/'Sm Comm Cust Fcst'!B35)</f>
        <v>0</v>
      </c>
      <c r="F34" s="109">
        <f>'Sm Comm Cust Fcst'!$C35*'Non-Residential TSM UC Adj'!J33</f>
        <v>0</v>
      </c>
      <c r="G34" s="23">
        <f>'Sm Comm Cust Fcst'!$C35*'Non-Residential TSM UC Adj'!K33</f>
        <v>0</v>
      </c>
      <c r="H34" s="23">
        <f>'Sm Comm Cust Fcst'!$C35*'Non-Residential TSM UC Adj'!L33</f>
        <v>0</v>
      </c>
      <c r="I34" s="41">
        <f>IF(SUM(F34:H34)=0,0,SUM(F34:H34)/'Sm Comm Cust Fcst'!C35)</f>
        <v>0</v>
      </c>
      <c r="J34" s="109">
        <f>'Sm Comm Cust Fcst'!$D35*'Non-Residential TSM UC Adj'!J33</f>
        <v>0</v>
      </c>
      <c r="K34" s="23">
        <f>'Sm Comm Cust Fcst'!$D35*'Non-Residential TSM UC Adj'!K33</f>
        <v>0</v>
      </c>
      <c r="L34" s="23">
        <f>'Sm Comm Cust Fcst'!$D35*'Non-Residential TSM UC Adj'!L33</f>
        <v>0</v>
      </c>
      <c r="M34" s="41">
        <f>IF(SUM(J34:L34)=0,0,SUM(J34:L34)/'Sm Comm Cust Fcst'!D35)</f>
        <v>0</v>
      </c>
      <c r="N34" s="109">
        <f>'Sm Comm Cust Fcst'!$E35*'Non-Residential TSM UC Adj'!N33</f>
        <v>0</v>
      </c>
      <c r="O34" s="23">
        <f>'Sm Comm Cust Fcst'!$E35*'Non-Residential TSM UC Adj'!O33</f>
        <v>0</v>
      </c>
      <c r="P34" s="23">
        <f>'Sm Comm Cust Fcst'!$E35*'Non-Residential TSM UC Adj'!P33</f>
        <v>0</v>
      </c>
      <c r="Q34" s="41">
        <f>IF(SUM(N34:P34)=0,0,SUM(N34:P34)/'Sm Comm Cust Fcst'!E35)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IF(SUM(R34:T34)=0,0,SUM(R34:T34)/'Sm Comm Cust Fcst'!F35)</f>
        <v>0</v>
      </c>
      <c r="V34" s="109">
        <f>'Sm Comm Cust Fcst'!$G35*'Non-Residential TSM UC Adj'!R33</f>
        <v>0</v>
      </c>
      <c r="W34" s="23">
        <f>'Sm Comm Cust Fcst'!$G35*'Non-Residential TSM UC Adj'!S33</f>
        <v>0</v>
      </c>
      <c r="X34" s="23">
        <f>'Sm Comm Cust Fcst'!$G35*'Non-Residential TSM UC Adj'!T33</f>
        <v>0</v>
      </c>
      <c r="Y34" s="41">
        <f>IF(SUM(V34:X34)=0,0,SUM(V34:X34)/'Sm Comm Cust Fcst'!G35)</f>
        <v>0</v>
      </c>
      <c r="Z34" s="109">
        <f t="shared" si="3"/>
        <v>0</v>
      </c>
      <c r="AA34" s="23">
        <f t="shared" si="3"/>
        <v>0</v>
      </c>
      <c r="AB34" s="23">
        <f t="shared" si="3"/>
        <v>0</v>
      </c>
      <c r="AC34" s="41">
        <f>IF(SUM(Z34:AB34)=0,0,SUM(Z34:AB34)/'Sm Comm Cust Fcst'!H35)</f>
        <v>0</v>
      </c>
    </row>
    <row r="35" spans="1:29" ht="13">
      <c r="A35" s="124" t="s">
        <v>106</v>
      </c>
      <c r="B35" s="109">
        <f>'Sm Comm Cust Fcst'!$B36*'Non-Residential TSM UC Adj'!J34</f>
        <v>0</v>
      </c>
      <c r="C35" s="23">
        <f>'Sm Comm Cust Fcst'!$B36*'Non-Residential TSM UC Adj'!K34</f>
        <v>0</v>
      </c>
      <c r="D35" s="23">
        <f>'Sm Comm Cust Fcst'!$B36*'Non-Residential TSM UC Adj'!L34</f>
        <v>0</v>
      </c>
      <c r="E35" s="41">
        <f>IF(SUM(B35:D35)=0,0,SUM(B35:D35)/'Sm Comm Cust Fcst'!B36)</f>
        <v>0</v>
      </c>
      <c r="F35" s="109">
        <f>'Sm Comm Cust Fcst'!$C36*'Non-Residential TSM UC Adj'!J34</f>
        <v>0</v>
      </c>
      <c r="G35" s="23">
        <f>'Sm Comm Cust Fcst'!$C36*'Non-Residential TSM UC Adj'!K34</f>
        <v>0</v>
      </c>
      <c r="H35" s="23">
        <f>'Sm Comm Cust Fcst'!$C36*'Non-Residential TSM UC Adj'!L34</f>
        <v>0</v>
      </c>
      <c r="I35" s="41">
        <f>IF(SUM(F35:H35)=0,0,SUM(F35:H35)/'Sm Comm Cust Fcst'!C36)</f>
        <v>0</v>
      </c>
      <c r="J35" s="109">
        <f>'Sm Comm Cust Fcst'!$D36*'Non-Residential TSM UC Adj'!J34</f>
        <v>0</v>
      </c>
      <c r="K35" s="23">
        <f>'Sm Comm Cust Fcst'!$D36*'Non-Residential TSM UC Adj'!K34</f>
        <v>0</v>
      </c>
      <c r="L35" s="23">
        <f>'Sm Comm Cust Fcst'!$D36*'Non-Residential TSM UC Adj'!L34</f>
        <v>0</v>
      </c>
      <c r="M35" s="41">
        <f>IF(SUM(J35:L35)=0,0,SUM(J35:L35)/'Sm Comm Cust Fcst'!D36)</f>
        <v>0</v>
      </c>
      <c r="N35" s="109">
        <f>'Sm Comm Cust Fcst'!$E36*'Non-Residential TSM UC Adj'!N34</f>
        <v>0</v>
      </c>
      <c r="O35" s="23">
        <f>'Sm Comm Cust Fcst'!$E36*'Non-Residential TSM UC Adj'!O34</f>
        <v>0</v>
      </c>
      <c r="P35" s="23">
        <f>'Sm Comm Cust Fcst'!$E36*'Non-Residential TSM UC Adj'!P34</f>
        <v>0</v>
      </c>
      <c r="Q35" s="41">
        <f>IF(SUM(N35:P35)=0,0,SUM(N35:P35)/'Sm Comm Cust Fcst'!E36)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IF(SUM(R35:T35)=0,0,SUM(R35:T35)/'Sm Comm Cust Fcst'!F36)</f>
        <v>0</v>
      </c>
      <c r="V35" s="109">
        <f>'Sm Comm Cust Fcst'!$G36*'Non-Residential TSM UC Adj'!R34</f>
        <v>0</v>
      </c>
      <c r="W35" s="23">
        <f>'Sm Comm Cust Fcst'!$G36*'Non-Residential TSM UC Adj'!S34</f>
        <v>0</v>
      </c>
      <c r="X35" s="23">
        <f>'Sm Comm Cust Fcst'!$G36*'Non-Residential TSM UC Adj'!T34</f>
        <v>0</v>
      </c>
      <c r="Y35" s="41">
        <f>IF(SUM(V35:X35)=0,0,SUM(V35:X35)/'Sm Comm Cust Fcst'!G36)</f>
        <v>0</v>
      </c>
      <c r="Z35" s="109">
        <f t="shared" si="3"/>
        <v>0</v>
      </c>
      <c r="AA35" s="23">
        <f t="shared" si="3"/>
        <v>0</v>
      </c>
      <c r="AB35" s="23">
        <f t="shared" si="3"/>
        <v>0</v>
      </c>
      <c r="AC35" s="41">
        <f>IF(SUM(Z35:AB35)=0,0,SUM(Z35:AB35)/'Sm Comm Cust Fcst'!H36)</f>
        <v>0</v>
      </c>
    </row>
    <row r="36" spans="1:29" ht="13">
      <c r="A36" s="124" t="s">
        <v>107</v>
      </c>
      <c r="B36" s="109">
        <f>'Sm Comm Cust Fcst'!$B37*'Non-Residential TSM UC Adj'!J35</f>
        <v>0</v>
      </c>
      <c r="C36" s="23">
        <f>'Sm Comm Cust Fcst'!$B37*'Non-Residential TSM UC Adj'!K35</f>
        <v>0</v>
      </c>
      <c r="D36" s="23">
        <f>'Sm Comm Cust Fcst'!$B37*'Non-Residential TSM UC Adj'!L35</f>
        <v>0</v>
      </c>
      <c r="E36" s="41">
        <f>IF(SUM(B36:D36)=0,0,SUM(B36:D36)/'Sm Comm Cust Fcst'!B37)</f>
        <v>0</v>
      </c>
      <c r="F36" s="109">
        <f>'Sm Comm Cust Fcst'!$C37*'Non-Residential TSM UC Adj'!J35</f>
        <v>0</v>
      </c>
      <c r="G36" s="23">
        <f>'Sm Comm Cust Fcst'!$C37*'Non-Residential TSM UC Adj'!K35</f>
        <v>0</v>
      </c>
      <c r="H36" s="23">
        <f>'Sm Comm Cust Fcst'!$C37*'Non-Residential TSM UC Adj'!L35</f>
        <v>0</v>
      </c>
      <c r="I36" s="41">
        <f>IF(SUM(F36:H36)=0,0,SUM(F36:H36)/'Sm Comm Cust Fcst'!C37)</f>
        <v>0</v>
      </c>
      <c r="J36" s="109">
        <f>'Sm Comm Cust Fcst'!$D37*'Non-Residential TSM UC Adj'!J35</f>
        <v>0</v>
      </c>
      <c r="K36" s="23">
        <f>'Sm Comm Cust Fcst'!$D37*'Non-Residential TSM UC Adj'!K35</f>
        <v>0</v>
      </c>
      <c r="L36" s="23">
        <f>'Sm Comm Cust Fcst'!$D37*'Non-Residential TSM UC Adj'!L35</f>
        <v>0</v>
      </c>
      <c r="M36" s="41">
        <f>IF(SUM(J36:L36)=0,0,SUM(J36:L36)/'Sm Comm Cust Fcst'!D37)</f>
        <v>0</v>
      </c>
      <c r="N36" s="109">
        <f>'Sm Comm Cust Fcst'!$E37*'Non-Residential TSM UC Adj'!N35</f>
        <v>0</v>
      </c>
      <c r="O36" s="23">
        <f>'Sm Comm Cust Fcst'!$E37*'Non-Residential TSM UC Adj'!O35</f>
        <v>0</v>
      </c>
      <c r="P36" s="23">
        <f>'Sm Comm Cust Fcst'!$E37*'Non-Residential TSM UC Adj'!P35</f>
        <v>0</v>
      </c>
      <c r="Q36" s="41">
        <f>IF(SUM(N36:P36)=0,0,SUM(N36:P36)/'Sm Comm Cust Fcst'!E37)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IF(SUM(R36:T36)=0,0,SUM(R36:T36)/'Sm Comm Cust Fcst'!F37)</f>
        <v>0</v>
      </c>
      <c r="V36" s="109">
        <f>'Sm Comm Cust Fcst'!$G37*'Non-Residential TSM UC Adj'!R35</f>
        <v>0</v>
      </c>
      <c r="W36" s="23">
        <f>'Sm Comm Cust Fcst'!$G37*'Non-Residential TSM UC Adj'!S35</f>
        <v>0</v>
      </c>
      <c r="X36" s="23">
        <f>'Sm Comm Cust Fcst'!$G37*'Non-Residential TSM UC Adj'!T35</f>
        <v>0</v>
      </c>
      <c r="Y36" s="41">
        <f>IF(SUM(V36:X36)=0,0,SUM(V36:X36)/'Sm Comm Cust Fcst'!G37)</f>
        <v>0</v>
      </c>
      <c r="Z36" s="109">
        <f t="shared" si="3"/>
        <v>0</v>
      </c>
      <c r="AA36" s="23">
        <f t="shared" si="3"/>
        <v>0</v>
      </c>
      <c r="AB36" s="23">
        <f t="shared" si="3"/>
        <v>0</v>
      </c>
      <c r="AC36" s="41">
        <f>IF(SUM(Z36:AB36)=0,0,SUM(Z36:AB36)/'Sm Comm Cust Fcst'!H37)</f>
        <v>0</v>
      </c>
    </row>
    <row r="37" spans="1:29" ht="13">
      <c r="A37" s="124" t="s">
        <v>26</v>
      </c>
      <c r="B37" s="109">
        <f>'Sm Comm Cust Fcst'!$B38*'Non-Residential TSM UC Adj'!J36</f>
        <v>0</v>
      </c>
      <c r="C37" s="23">
        <f>'Sm Comm Cust Fcst'!$B38*'Non-Residential TSM UC Adj'!K36</f>
        <v>0</v>
      </c>
      <c r="D37" s="23">
        <f>'Sm Comm Cust Fcst'!$B38*'Non-Residential TSM UC Adj'!L36</f>
        <v>0</v>
      </c>
      <c r="E37" s="41">
        <f>IF(SUM(B37:D37)=0,0,SUM(B37:D37)/'Sm Comm Cust Fcst'!B38)</f>
        <v>0</v>
      </c>
      <c r="F37" s="109">
        <f>'Sm Comm Cust Fcst'!$C38*'Non-Residential TSM UC Adj'!J36</f>
        <v>0</v>
      </c>
      <c r="G37" s="23">
        <f>'Sm Comm Cust Fcst'!$C38*'Non-Residential TSM UC Adj'!K36</f>
        <v>0</v>
      </c>
      <c r="H37" s="23">
        <f>'Sm Comm Cust Fcst'!$C38*'Non-Residential TSM UC Adj'!L36</f>
        <v>0</v>
      </c>
      <c r="I37" s="41">
        <f>IF(SUM(F37:H37)=0,0,SUM(F37:H37)/'Sm Comm Cust Fcst'!C38)</f>
        <v>0</v>
      </c>
      <c r="J37" s="109">
        <f>'Sm Comm Cust Fcst'!$D38*'Non-Residential TSM UC Adj'!J36</f>
        <v>0</v>
      </c>
      <c r="K37" s="23">
        <f>'Sm Comm Cust Fcst'!$D38*'Non-Residential TSM UC Adj'!K36</f>
        <v>0</v>
      </c>
      <c r="L37" s="23">
        <f>'Sm Comm Cust Fcst'!$D38*'Non-Residential TSM UC Adj'!L36</f>
        <v>0</v>
      </c>
      <c r="M37" s="41">
        <f>IF(SUM(J37:L37)=0,0,SUM(J37:L37)/'Sm Comm Cust Fcst'!D38)</f>
        <v>0</v>
      </c>
      <c r="N37" s="109">
        <f>'Sm Comm Cust Fcst'!$E38*'Non-Residential TSM UC Adj'!N36</f>
        <v>0</v>
      </c>
      <c r="O37" s="23">
        <f>'Sm Comm Cust Fcst'!$E38*'Non-Residential TSM UC Adj'!O36</f>
        <v>0</v>
      </c>
      <c r="P37" s="23">
        <f>'Sm Comm Cust Fcst'!$E38*'Non-Residential TSM UC Adj'!P36</f>
        <v>0</v>
      </c>
      <c r="Q37" s="41">
        <f>IF(SUM(N37:P37)=0,0,SUM(N37:P37)/'Sm Comm Cust Fcst'!E38)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IF(SUM(R37:T37)=0,0,SUM(R37:T37)/'Sm Comm Cust Fcst'!F38)</f>
        <v>0</v>
      </c>
      <c r="V37" s="109">
        <f>'Sm Comm Cust Fcst'!$G38*'Non-Residential TSM UC Adj'!R36</f>
        <v>0</v>
      </c>
      <c r="W37" s="23">
        <f>'Sm Comm Cust Fcst'!$G38*'Non-Residential TSM UC Adj'!S36</f>
        <v>0</v>
      </c>
      <c r="X37" s="23">
        <f>'Sm Comm Cust Fcst'!$G38*'Non-Residential TSM UC Adj'!T36</f>
        <v>0</v>
      </c>
      <c r="Y37" s="41">
        <f>IF(SUM(V37:X37)=0,0,SUM(V37:X37)/'Sm Comm Cust Fcst'!G38)</f>
        <v>0</v>
      </c>
      <c r="Z37" s="109">
        <f t="shared" si="3"/>
        <v>0</v>
      </c>
      <c r="AA37" s="23">
        <f t="shared" si="3"/>
        <v>0</v>
      </c>
      <c r="AB37" s="23">
        <f t="shared" si="3"/>
        <v>0</v>
      </c>
      <c r="AC37" s="41">
        <f>IF(SUM(Z37:AB37)=0,0,SUM(Z37:AB37)/'Sm Comm Cust Fcst'!H38)</f>
        <v>0</v>
      </c>
    </row>
    <row r="38" spans="1:29" ht="13">
      <c r="A38" s="124" t="s">
        <v>27</v>
      </c>
      <c r="B38" s="109">
        <f>'Sm Comm Cust Fcst'!$B39*'Non-Residential TSM UC Adj'!J37</f>
        <v>0</v>
      </c>
      <c r="C38" s="23">
        <f>'Sm Comm Cust Fcst'!$B39*'Non-Residential TSM UC Adj'!K37</f>
        <v>0</v>
      </c>
      <c r="D38" s="23">
        <f>'Sm Comm Cust Fcst'!$B39*'Non-Residential TSM UC Adj'!L37</f>
        <v>0</v>
      </c>
      <c r="E38" s="41">
        <f>IF(SUM(B38:D38)=0,0,SUM(B38:D38)/'Sm Comm Cust Fcst'!B39)</f>
        <v>0</v>
      </c>
      <c r="F38" s="109">
        <f>'Sm Comm Cust Fcst'!$C39*'Non-Residential TSM UC Adj'!J37</f>
        <v>0</v>
      </c>
      <c r="G38" s="23">
        <f>'Sm Comm Cust Fcst'!$C39*'Non-Residential TSM UC Adj'!K37</f>
        <v>0</v>
      </c>
      <c r="H38" s="23">
        <f>'Sm Comm Cust Fcst'!$C39*'Non-Residential TSM UC Adj'!L37</f>
        <v>0</v>
      </c>
      <c r="I38" s="41">
        <f>IF(SUM(F38:H38)=0,0,SUM(F38:H38)/'Sm Comm Cust Fcst'!C39)</f>
        <v>0</v>
      </c>
      <c r="J38" s="109">
        <f>'Sm Comm Cust Fcst'!$D39*'Non-Residential TSM UC Adj'!J37</f>
        <v>0</v>
      </c>
      <c r="K38" s="23">
        <f>'Sm Comm Cust Fcst'!$D39*'Non-Residential TSM UC Adj'!K37</f>
        <v>0</v>
      </c>
      <c r="L38" s="23">
        <f>'Sm Comm Cust Fcst'!$D39*'Non-Residential TSM UC Adj'!L37</f>
        <v>0</v>
      </c>
      <c r="M38" s="41">
        <f>IF(SUM(J38:L38)=0,0,SUM(J38:L38)/'Sm Comm Cust Fcst'!D39)</f>
        <v>0</v>
      </c>
      <c r="N38" s="109">
        <f>'Sm Comm Cust Fcst'!$E39*'Non-Residential TSM UC Adj'!N37</f>
        <v>0</v>
      </c>
      <c r="O38" s="23">
        <f>'Sm Comm Cust Fcst'!$E39*'Non-Residential TSM UC Adj'!O37</f>
        <v>0</v>
      </c>
      <c r="P38" s="23">
        <f>'Sm Comm Cust Fcst'!$E39*'Non-Residential TSM UC Adj'!P37</f>
        <v>0</v>
      </c>
      <c r="Q38" s="41">
        <f>IF(SUM(N38:P38)=0,0,SUM(N38:P38)/'Sm Comm Cust Fcst'!E39)</f>
        <v>0</v>
      </c>
      <c r="R38" s="109">
        <f t="shared" si="2"/>
        <v>0</v>
      </c>
      <c r="S38" s="23">
        <f t="shared" si="2"/>
        <v>0</v>
      </c>
      <c r="T38" s="23">
        <f t="shared" si="2"/>
        <v>0</v>
      </c>
      <c r="U38" s="41">
        <f>IF(SUM(R38:T38)=0,0,SUM(R38:T38)/'Sm Comm Cust Fcst'!F39)</f>
        <v>0</v>
      </c>
      <c r="V38" s="109">
        <f>'Sm Comm Cust Fcst'!$G39*'Non-Residential TSM UC Adj'!R37</f>
        <v>0</v>
      </c>
      <c r="W38" s="23">
        <f>'Sm Comm Cust Fcst'!$G39*'Non-Residential TSM UC Adj'!S37</f>
        <v>0</v>
      </c>
      <c r="X38" s="23">
        <f>'Sm Comm Cust Fcst'!$G39*'Non-Residential TSM UC Adj'!T37</f>
        <v>0</v>
      </c>
      <c r="Y38" s="41">
        <f>IF(SUM(V38:X38)=0,0,SUM(V38:X38)/'Sm Comm Cust Fcst'!G39)</f>
        <v>0</v>
      </c>
      <c r="Z38" s="109">
        <f t="shared" si="3"/>
        <v>0</v>
      </c>
      <c r="AA38" s="23">
        <f t="shared" si="3"/>
        <v>0</v>
      </c>
      <c r="AB38" s="23">
        <f t="shared" si="3"/>
        <v>0</v>
      </c>
      <c r="AC38" s="41">
        <f>IF(SUM(Z38:AB38)=0,0,SUM(Z38:AB38)/'Sm Comm Cust Fcst'!H39)</f>
        <v>0</v>
      </c>
    </row>
    <row r="39" spans="1:29" ht="13.5" thickBot="1">
      <c r="A39" s="127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41"/>
      <c r="R39" s="177"/>
      <c r="S39" s="173"/>
      <c r="T39" s="173"/>
      <c r="U39" s="182"/>
      <c r="V39" s="109"/>
      <c r="W39" s="23"/>
      <c r="X39" s="23"/>
      <c r="Y39" s="41"/>
      <c r="Z39" s="109"/>
      <c r="AA39" s="23"/>
      <c r="AB39" s="23"/>
      <c r="AC39" s="41"/>
    </row>
    <row r="40" spans="1:29" ht="13.5" thickBot="1">
      <c r="A40" s="178" t="s">
        <v>2</v>
      </c>
      <c r="B40" s="362">
        <f>IF(SUM(B7:B38)=0,0,SUM(B7:B38)/'Sm Comm Cust Fcst'!$B41)</f>
        <v>1694.15782726468</v>
      </c>
      <c r="C40" s="365">
        <f>IF(SUM(C7:C38)=0,0,SUM(C7:C38)/'Sm Comm Cust Fcst'!$B41)</f>
        <v>191.15963907987606</v>
      </c>
      <c r="D40" s="365">
        <f>IF(SUM(D7:D38)=0,0,SUM(D7:D38)/'Sm Comm Cust Fcst'!$B41)</f>
        <v>234.29973156037585</v>
      </c>
      <c r="E40" s="367">
        <f>SUM(B40:D40)</f>
        <v>2119.6171979049318</v>
      </c>
      <c r="F40" s="363">
        <f>IF(SUM(F7:F38)=0,0,SUM(F7:F38)/'Sm Comm Cust Fcst'!$C41)</f>
        <v>4289.101008546676</v>
      </c>
      <c r="G40" s="366">
        <f>IF(SUM(G7:G38)=0,0,SUM(G7:G38)/'Sm Comm Cust Fcst'!$C41)</f>
        <v>713.95305535397722</v>
      </c>
      <c r="H40" s="366">
        <f>IF(SUM(H7:H38)=0,0,SUM(H7:H38)/'Sm Comm Cust Fcst'!$C41)</f>
        <v>301.76349896014176</v>
      </c>
      <c r="I40" s="368">
        <f>SUM(F40:H40)</f>
        <v>5304.8175628607951</v>
      </c>
      <c r="J40" s="363">
        <f>IF(SUM(J7:J38)=0,0,SUM(J7:J38)/'Sm Comm Cust Fcst'!$D41)</f>
        <v>3711.1945366957693</v>
      </c>
      <c r="K40" s="366">
        <f>IF(SUM(K7:K38)=0,0,SUM(K7:K38)/'Sm Comm Cust Fcst'!$D41)</f>
        <v>734.56203338802948</v>
      </c>
      <c r="L40" s="366">
        <f>IF(SUM(L7:L38)=0,0,SUM(L7:L38)/'Sm Comm Cust Fcst'!$D41)</f>
        <v>309.11089115989876</v>
      </c>
      <c r="M40" s="368">
        <f>SUM(J40:L40)</f>
        <v>4754.8674612436971</v>
      </c>
      <c r="N40" s="363">
        <f>IF(SUM(N7:N38)=0,0,SUM(N7:N38)/'Sm Comm Cust Fcst'!$E41)</f>
        <v>4122.8154093158964</v>
      </c>
      <c r="O40" s="366">
        <f>IF(SUM(O7:O38)=0,0,SUM(O7:O38)/'Sm Comm Cust Fcst'!$E41)</f>
        <v>751.70518064720613</v>
      </c>
      <c r="P40" s="366">
        <f>IF(SUM(P7:P38)=0,0,SUM(P7:P38)/'Sm Comm Cust Fcst'!$E41)</f>
        <v>343.53478424394564</v>
      </c>
      <c r="Q40" s="368">
        <f>SUM(N40:P40)</f>
        <v>5218.0553742070488</v>
      </c>
      <c r="R40" s="363">
        <f>IF(SUM(R7:R38)=0,0,SUM(R7:R38)/'Sm Comm Cust Fcst'!$F41)</f>
        <v>2861.8799519419031</v>
      </c>
      <c r="S40" s="366">
        <f>IF(SUM(S7:S38)=0,0,SUM(S7:S38)/'Sm Comm Cust Fcst'!$F41)</f>
        <v>494.94328406706217</v>
      </c>
      <c r="T40" s="366">
        <f>IF(SUM(T7:T38)=0,0,SUM(T7:T38)/'Sm Comm Cust Fcst'!$F41)</f>
        <v>277.29500664527319</v>
      </c>
      <c r="U40" s="368">
        <f>SUM(R40:T40)</f>
        <v>3634.1182426542382</v>
      </c>
      <c r="V40" s="363">
        <f>IF(SUM(V7:V38)=0,0,SUM(V7:V38)/'Sm Comm Cust Fcst'!$G41)</f>
        <v>0</v>
      </c>
      <c r="W40" s="366">
        <f>IF(SUM(W7:W38)=0,0,SUM(W7:W38)/'Sm Comm Cust Fcst'!$G41)</f>
        <v>0</v>
      </c>
      <c r="X40" s="366">
        <f>IF(SUM(X7:X38)=0,0,SUM(X7:X38)/'Sm Comm Cust Fcst'!$G41)</f>
        <v>0</v>
      </c>
      <c r="Y40" s="368">
        <f>SUM(V40:X40)</f>
        <v>0</v>
      </c>
      <c r="Z40" s="363">
        <f>IF(SUM(Z7:Z38)=0,0,SUM(Z7:Z38)/'Sm Comm Cust Fcst'!$H41)</f>
        <v>2861.8799519419031</v>
      </c>
      <c r="AA40" s="366">
        <f>IF(SUM(AA7:AA38)=0,0,SUM(AA7:AA38)/'Sm Comm Cust Fcst'!$H41)</f>
        <v>494.94328406706217</v>
      </c>
      <c r="AB40" s="366">
        <f>IF(SUM(AB7:AB38)=0,0,SUM(AB7:AB38)/'Sm Comm Cust Fcst'!$H41)</f>
        <v>277.29500664527319</v>
      </c>
      <c r="AC40" s="368">
        <f>SUM(Z40:AB40)</f>
        <v>3634.1182426542382</v>
      </c>
    </row>
    <row r="41" spans="1:29" ht="13">
      <c r="A41" s="223" t="s">
        <v>87</v>
      </c>
      <c r="B41" s="363">
        <f>IF(SUM(B7:B8)=0,0,SUM(B7:B8)/'Sm Comm Cust Fcst'!$B42)</f>
        <v>471.67009729586863</v>
      </c>
      <c r="C41" s="366">
        <f>IF(SUM(C7:C8)=0,0,SUM(C7:C8)/'Sm Comm Cust Fcst'!$B42)</f>
        <v>112.16712195266035</v>
      </c>
      <c r="D41" s="366">
        <f>IF(SUM(D7:D8)=0,0,SUM(D7:D8)/'Sm Comm Cust Fcst'!$B42)</f>
        <v>234.2997315603759</v>
      </c>
      <c r="E41" s="368">
        <f>SUM(B41:D41)</f>
        <v>818.13695080890488</v>
      </c>
      <c r="F41" s="363">
        <f>IF(SUM(F7:F8)=0,0,SUM(F7:F8)/'Sm Comm Cust Fcst'!$C42)</f>
        <v>336.13644267607185</v>
      </c>
      <c r="G41" s="366">
        <f>IF(SUM(G7:G8)=0,0,SUM(G7:G8)/'Sm Comm Cust Fcst'!$C42)</f>
        <v>609.82032510065369</v>
      </c>
      <c r="H41" s="366">
        <f>IF(SUM(H7:H8)=0,0,SUM(H7:H8)/'Sm Comm Cust Fcst'!$C42)</f>
        <v>301.76349896014176</v>
      </c>
      <c r="I41" s="368">
        <f>SUM(F41:H41)</f>
        <v>1247.7202667368674</v>
      </c>
      <c r="J41" s="363">
        <f>IF(SUM(J7:J8)=0,0,SUM(J7:J8)/'Sm Comm Cust Fcst'!$D42)</f>
        <v>753.55135731859207</v>
      </c>
      <c r="K41" s="366">
        <f>IF(SUM(K7:K8)=0,0,SUM(K7:K8)/'Sm Comm Cust Fcst'!$D42)</f>
        <v>609.82032510065369</v>
      </c>
      <c r="L41" s="366">
        <f>IF(SUM(L7:L8)=0,0,SUM(L7:L8)/'Sm Comm Cust Fcst'!$D42)</f>
        <v>301.7634989601417</v>
      </c>
      <c r="M41" s="368">
        <f>SUM(J41:L41)</f>
        <v>1665.1351813793874</v>
      </c>
      <c r="N41" s="363">
        <f>IF(SUM(N7:N8)=0,0,SUM(N7:N8)/'Sm Comm Cust Fcst'!$E42)</f>
        <v>795.92657033779824</v>
      </c>
      <c r="O41" s="366">
        <f>IF(SUM(O7:O8)=0,0,SUM(O7:O8)/'Sm Comm Cust Fcst'!$E42)</f>
        <v>609.82032510065369</v>
      </c>
      <c r="P41" s="366">
        <f>IF(SUM(P7:P8)=0,0,SUM(P7:P8)/'Sm Comm Cust Fcst'!$E42)</f>
        <v>301.76349896014176</v>
      </c>
      <c r="Q41" s="368">
        <f>SUM(N41:P41)</f>
        <v>1707.5103943985937</v>
      </c>
      <c r="R41" s="363">
        <f>IF(SUM(R7:R8)=0,0,SUM(R7:R8)/'Sm Comm Cust Fcst'!$F42)</f>
        <v>589.20209093746712</v>
      </c>
      <c r="S41" s="366">
        <f>IF(SUM(S7:S8)=0,0,SUM(S7:S8)/'Sm Comm Cust Fcst'!$F42)</f>
        <v>328.678580465099</v>
      </c>
      <c r="T41" s="366">
        <f>IF(SUM(T7:T8)=0,0,SUM(T7:T8)/'Sm Comm Cust Fcst'!$F42)</f>
        <v>263.65085114339092</v>
      </c>
      <c r="U41" s="368">
        <f>SUM(R41:T41)</f>
        <v>1181.5315225459572</v>
      </c>
      <c r="V41" s="363">
        <f>IF(SUM(V7:V8)=0,0,SUM(V7:V8)/'Sm Comm Cust Fcst'!$G42)</f>
        <v>0</v>
      </c>
      <c r="W41" s="366">
        <f>IF(SUM(W7:W8)=0,0,SUM(W7:W8)/'Sm Comm Cust Fcst'!$G42)</f>
        <v>0</v>
      </c>
      <c r="X41" s="366">
        <f>IF(SUM(X7:X8)=0,0,SUM(X7:X8)/'Sm Comm Cust Fcst'!$G42)</f>
        <v>0</v>
      </c>
      <c r="Y41" s="368">
        <f>SUM(V41:X41)</f>
        <v>0</v>
      </c>
      <c r="Z41" s="363">
        <f>IF(SUM(Z7:Z8)=0,0,SUM(Z7:Z8)/'Sm Comm Cust Fcst'!$H42)</f>
        <v>589.20209093746712</v>
      </c>
      <c r="AA41" s="366">
        <f>IF(SUM(AA7:AA8)=0,0,SUM(AA7:AA8)/'Sm Comm Cust Fcst'!$H42)</f>
        <v>328.678580465099</v>
      </c>
      <c r="AB41" s="366">
        <f>IF(SUM(AB7:AB8)=0,0,SUM(AB7:AB8)/'Sm Comm Cust Fcst'!$H42)</f>
        <v>263.65085114339092</v>
      </c>
      <c r="AC41" s="368">
        <f>SUM(Z41:AB41)</f>
        <v>1181.5315225459572</v>
      </c>
    </row>
    <row r="42" spans="1:29" ht="13">
      <c r="A42" s="124" t="s">
        <v>109</v>
      </c>
      <c r="B42" s="288">
        <f>IF(SUM(B9:B11)=0,0,SUM(B9:B11)/'Sm Comm Cust Fcst'!$B43)</f>
        <v>1361.7620481312765</v>
      </c>
      <c r="C42" s="83">
        <f>IF(SUM(C9:C11)=0,0,SUM(C9:C11)/'Sm Comm Cust Fcst'!$B43)</f>
        <v>154.00005040889545</v>
      </c>
      <c r="D42" s="83">
        <f>IF(SUM(D9:D11)=0,0,SUM(D9:D11)/'Sm Comm Cust Fcst'!$B43)</f>
        <v>234.29973156037588</v>
      </c>
      <c r="E42" s="289">
        <f>SUM(B42:D42)</f>
        <v>1750.0618301005479</v>
      </c>
      <c r="F42" s="288">
        <f>IF(SUM(F9:F11)=0,0,SUM(F9:F11)/'Sm Comm Cust Fcst'!$C43)</f>
        <v>2881.1695086520444</v>
      </c>
      <c r="G42" s="83">
        <f>IF(SUM(G9:G11)=0,0,SUM(G9:G11)/'Sm Comm Cust Fcst'!$C43)</f>
        <v>687.30003511056714</v>
      </c>
      <c r="H42" s="83">
        <f>IF(SUM(H9:H11)=0,0,SUM(H9:H11)/'Sm Comm Cust Fcst'!$C43)</f>
        <v>301.7634989601417</v>
      </c>
      <c r="I42" s="289">
        <f>SUM(F42:H42)</f>
        <v>3870.233042722753</v>
      </c>
      <c r="J42" s="288">
        <f>IF(SUM(J9:J11)=0,0,SUM(J9:J11)/'Sm Comm Cust Fcst'!$D43)</f>
        <v>2393.3151280328416</v>
      </c>
      <c r="K42" s="83">
        <f>IF(SUM(K9:K11)=0,0,SUM(K9:K11)/'Sm Comm Cust Fcst'!$D43)</f>
        <v>683.05241649073423</v>
      </c>
      <c r="L42" s="83">
        <f>IF(SUM(L9:L11)=0,0,SUM(L9:L11)/'Sm Comm Cust Fcst'!$D43)</f>
        <v>301.76349896014176</v>
      </c>
      <c r="M42" s="289">
        <f>SUM(J42:L42)</f>
        <v>3378.1310434837178</v>
      </c>
      <c r="N42" s="288">
        <f>IF(SUM(N9:N11)=0,0,SUM(N9:N11)/'Sm Comm Cust Fcst'!$E43)</f>
        <v>2977.9565556856396</v>
      </c>
      <c r="O42" s="83">
        <f>IF(SUM(O9:O11)=0,0,SUM(O9:O11)/'Sm Comm Cust Fcst'!$E43)</f>
        <v>718.29191911453256</v>
      </c>
      <c r="P42" s="83">
        <f>IF(SUM(P9:P11)=0,0,SUM(P9:P11)/'Sm Comm Cust Fcst'!$E43)</f>
        <v>301.7634989601417</v>
      </c>
      <c r="Q42" s="289">
        <f>SUM(N42:P42)</f>
        <v>3998.0119737603136</v>
      </c>
      <c r="R42" s="288">
        <f>IF(SUM(R9:R11)=0,0,SUM(R9:R11)/'Sm Comm Cust Fcst'!$F43)</f>
        <v>2031.6513172812186</v>
      </c>
      <c r="S42" s="83">
        <f>IF(SUM(S9:S11)=0,0,SUM(S9:S11)/'Sm Comm Cust Fcst'!$F43)</f>
        <v>482.52152479777362</v>
      </c>
      <c r="T42" s="83">
        <f>IF(SUM(T9:T11)=0,0,SUM(T9:T11)/'Sm Comm Cust Fcst'!$F43)</f>
        <v>276.08126932500363</v>
      </c>
      <c r="U42" s="289">
        <f>SUM(R42:T42)</f>
        <v>2790.2541114039959</v>
      </c>
      <c r="V42" s="288">
        <f>IF(SUM(V9:V11)=0,0,SUM(V9:V11)/'Sm Comm Cust Fcst'!$G43)</f>
        <v>0</v>
      </c>
      <c r="W42" s="83">
        <f>IF(SUM(W9:W11)=0,0,SUM(W9:W11)/'Sm Comm Cust Fcst'!$G43)</f>
        <v>0</v>
      </c>
      <c r="X42" s="83">
        <f>IF(SUM(X9:X11)=0,0,SUM(X9:X11)/'Sm Comm Cust Fcst'!$G43)</f>
        <v>0</v>
      </c>
      <c r="Y42" s="289">
        <f>SUM(V42:X42)</f>
        <v>0</v>
      </c>
      <c r="Z42" s="288">
        <f>IF(SUM(Z9:Z11)=0,0,SUM(Z9:Z11)/'Sm Comm Cust Fcst'!$H43)</f>
        <v>2031.6513172812186</v>
      </c>
      <c r="AA42" s="83">
        <f>IF(SUM(AA9:AA11)=0,0,SUM(AA9:AA11)/'Sm Comm Cust Fcst'!$H43)</f>
        <v>482.52152479777362</v>
      </c>
      <c r="AB42" s="83">
        <f>IF(SUM(AB9:AB11)=0,0,SUM(AB9:AB11)/'Sm Comm Cust Fcst'!$H43)</f>
        <v>276.08126932500363</v>
      </c>
      <c r="AC42" s="289">
        <f>SUM(Z42:AB42)</f>
        <v>2790.2541114039959</v>
      </c>
    </row>
    <row r="43" spans="1:29" ht="13">
      <c r="A43" s="124" t="s">
        <v>110</v>
      </c>
      <c r="B43" s="288">
        <f>IF(SUM(B12:B13)=0,0,SUM(B12:B13)/'Sm Comm Cust Fcst'!$B44)</f>
        <v>4018.477980851962</v>
      </c>
      <c r="C43" s="83">
        <f>IF(SUM(C12:C13)=0,0,SUM(C12:C13)/'Sm Comm Cust Fcst'!$B44)</f>
        <v>351.35402416662436</v>
      </c>
      <c r="D43" s="83">
        <f>IF(SUM(D12:D13)=0,0,SUM(D12:D13)/'Sm Comm Cust Fcst'!$B44)</f>
        <v>234.29973156037588</v>
      </c>
      <c r="E43" s="289">
        <f>SUM(B43:D43)</f>
        <v>4604.1317365789628</v>
      </c>
      <c r="F43" s="288">
        <f>IF(SUM(F12:F13)=0,0,SUM(F12:F13)/'Sm Comm Cust Fcst'!$C44)</f>
        <v>8235.3428455637586</v>
      </c>
      <c r="G43" s="83">
        <f>IF(SUM(G12:G13)=0,0,SUM(G12:G13)/'Sm Comm Cust Fcst'!$C44)</f>
        <v>799.64561462494157</v>
      </c>
      <c r="H43" s="83">
        <f>IF(SUM(H12:H13)=0,0,SUM(H12:H13)/'Sm Comm Cust Fcst'!$C44)</f>
        <v>301.76349896014176</v>
      </c>
      <c r="I43" s="289">
        <f>SUM(F43:H43)</f>
        <v>9336.7519591488417</v>
      </c>
      <c r="J43" s="288">
        <f>IF(SUM(J12:J13)=0,0,SUM(J12:J13)/'Sm Comm Cust Fcst'!$D44)</f>
        <v>10102.367348594898</v>
      </c>
      <c r="K43" s="83">
        <f>IF(SUM(K12:K13)=0,0,SUM(K12:K13)/'Sm Comm Cust Fcst'!$D44)</f>
        <v>831.2831628789894</v>
      </c>
      <c r="L43" s="83">
        <f>IF(SUM(L12:L13)=0,0,SUM(L12:L13)/'Sm Comm Cust Fcst'!$D44)</f>
        <v>301.76349896014176</v>
      </c>
      <c r="M43" s="289">
        <f>SUM(J43:L43)</f>
        <v>11235.414010434029</v>
      </c>
      <c r="N43" s="288">
        <f>IF(SUM(N12:N13)=0,0,SUM(N12:N13)/'Sm Comm Cust Fcst'!$E44)</f>
        <v>5836.7948491438538</v>
      </c>
      <c r="O43" s="83">
        <f>IF(SUM(O12:O13)=0,0,SUM(O12:O13)/'Sm Comm Cust Fcst'!$E44)</f>
        <v>761.68055672008393</v>
      </c>
      <c r="P43" s="83">
        <f>IF(SUM(P12:P13)=0,0,SUM(P12:P13)/'Sm Comm Cust Fcst'!$E44)</f>
        <v>301.76349896014176</v>
      </c>
      <c r="Q43" s="289">
        <f>SUM(N43:P43)</f>
        <v>6900.2389048240793</v>
      </c>
      <c r="R43" s="288">
        <f>IF(SUM(R12:R13)=0,0,SUM(R12:R13)/'Sm Comm Cust Fcst'!$F44)</f>
        <v>6880.4710826537967</v>
      </c>
      <c r="S43" s="83">
        <f>IF(SUM(S12:S13)=0,0,SUM(S12:S13)/'Sm Comm Cust Fcst'!$F44)</f>
        <v>596.43576813779839</v>
      </c>
      <c r="T43" s="83">
        <f>IF(SUM(T12:T13)=0,0,SUM(T12:T13)/'Sm Comm Cust Fcst'!$F44)</f>
        <v>269.47314875170684</v>
      </c>
      <c r="U43" s="289">
        <f>SUM(R43:T43)</f>
        <v>7746.3799995433019</v>
      </c>
      <c r="V43" s="288">
        <f>IF(SUM(V12:V13)=0,0,SUM(V12:V13)/'Sm Comm Cust Fcst'!$G44)</f>
        <v>0</v>
      </c>
      <c r="W43" s="83">
        <f>IF(SUM(W12:W13)=0,0,SUM(W12:W13)/'Sm Comm Cust Fcst'!$G44)</f>
        <v>0</v>
      </c>
      <c r="X43" s="83">
        <f>IF(SUM(X12:X13)=0,0,SUM(X12:X13)/'Sm Comm Cust Fcst'!$G44)</f>
        <v>0</v>
      </c>
      <c r="Y43" s="289">
        <f>SUM(V43:X43)</f>
        <v>0</v>
      </c>
      <c r="Z43" s="288">
        <f>IF(SUM(Z12:Z13)=0,0,SUM(Z12:Z13)/'Sm Comm Cust Fcst'!$H44)</f>
        <v>6880.4710826537967</v>
      </c>
      <c r="AA43" s="83">
        <f>IF(SUM(AA12:AA13)=0,0,SUM(AA12:AA13)/'Sm Comm Cust Fcst'!$H44)</f>
        <v>596.43576813779839</v>
      </c>
      <c r="AB43" s="83">
        <f>IF(SUM(AB12:AB13)=0,0,SUM(AB12:AB13)/'Sm Comm Cust Fcst'!$H44)</f>
        <v>269.47314875170684</v>
      </c>
      <c r="AC43" s="289">
        <f>SUM(Z43:AB43)</f>
        <v>7746.3799995433019</v>
      </c>
    </row>
    <row r="44" spans="1:29" ht="13.5" thickBot="1">
      <c r="A44" s="176" t="s">
        <v>111</v>
      </c>
      <c r="B44" s="364">
        <f>IF(SUM(B14:B38)=0,0,SUM(B14:B38)/'Sm Comm Cust Fcst'!$B45)</f>
        <v>5150.0808789771727</v>
      </c>
      <c r="C44" s="302">
        <f>IF(SUM(C14:C38)=0,0,SUM(C14:C38)/'Sm Comm Cust Fcst'!$B45)</f>
        <v>671.30102360008686</v>
      </c>
      <c r="D44" s="302">
        <f>IF(SUM(D14:D38)=0,0,SUM(D14:D38)/'Sm Comm Cust Fcst'!$B45)</f>
        <v>234.29973156037588</v>
      </c>
      <c r="E44" s="369">
        <f>SUM(B44:D44)</f>
        <v>6055.6816341376352</v>
      </c>
      <c r="F44" s="364">
        <f>IF(SUM(F14:F38)=0,0,SUM(F14:F38)/'Sm Comm Cust Fcst'!$C45)</f>
        <v>0</v>
      </c>
      <c r="G44" s="302">
        <f>IF(SUM(G14:G38)=0,0,SUM(G14:G38)/'Sm Comm Cust Fcst'!$C45)</f>
        <v>0</v>
      </c>
      <c r="H44" s="302">
        <f>IF(SUM(H14:H38)=0,0,SUM(H14:H38)/'Sm Comm Cust Fcst'!$C45)</f>
        <v>0</v>
      </c>
      <c r="I44" s="369">
        <f>SUM(F44:H44)</f>
        <v>0</v>
      </c>
      <c r="J44" s="364">
        <f>IF(SUM(J14:J38)=0,0,SUM(J14:J38)/'Sm Comm Cust Fcst'!$D45)</f>
        <v>15889.087541410105</v>
      </c>
      <c r="K44" s="302">
        <f>IF(SUM(K14:K38)=0,0,SUM(K14:K38)/'Sm Comm Cust Fcst'!$D45)</f>
        <v>2080.7943503249162</v>
      </c>
      <c r="L44" s="302">
        <f>IF(SUM(L14:L38)=0,0,SUM(L14:L38)/'Sm Comm Cust Fcst'!$D45)</f>
        <v>552.39121066296502</v>
      </c>
      <c r="M44" s="369">
        <f>SUM(J44:L44)</f>
        <v>18522.273102397987</v>
      </c>
      <c r="N44" s="364">
        <f>IF(SUM(N14:N38)=0,0,SUM(N14:N38)/'Sm Comm Cust Fcst'!$E45)</f>
        <v>13132.78841057367</v>
      </c>
      <c r="O44" s="302">
        <f>IF(SUM(O14:O38)=0,0,SUM(O14:O38)/'Sm Comm Cust Fcst'!$E45)</f>
        <v>1187.8925209913082</v>
      </c>
      <c r="P44" s="302">
        <f>IF(SUM(P14:P38)=0,0,SUM(P14:P38)/'Sm Comm Cust Fcst'!$E45)</f>
        <v>583.71967462581802</v>
      </c>
      <c r="Q44" s="369">
        <f>SUM(N44:P44)</f>
        <v>14904.400606190797</v>
      </c>
      <c r="R44" s="364">
        <f>IF(SUM(R14:R38)=0,0,SUM(R14:R38)/'Sm Comm Cust Fcst'!$F45)</f>
        <v>11917.548778360455</v>
      </c>
      <c r="S44" s="302">
        <f>IF(SUM(S14:S38)=0,0,SUM(S14:S38)/'Sm Comm Cust Fcst'!$F45)</f>
        <v>1447.7118620257893</v>
      </c>
      <c r="T44" s="302">
        <f>IF(SUM(T14:T38)=0,0,SUM(T14:T38)/'Sm Comm Cust Fcst'!$F45)</f>
        <v>458.53673599116911</v>
      </c>
      <c r="U44" s="369">
        <f>SUM(R44:T44)</f>
        <v>13823.797376377413</v>
      </c>
      <c r="V44" s="364">
        <f>IF(SUM(V14:V38)=0,0,SUM(V14:V38)/'Sm Comm Cust Fcst'!$G45)</f>
        <v>0</v>
      </c>
      <c r="W44" s="302">
        <f>IF(SUM(W14:W38)=0,0,SUM(W14:W38)/'Sm Comm Cust Fcst'!$G45)</f>
        <v>0</v>
      </c>
      <c r="X44" s="302">
        <f>IF(SUM(X14:X38)=0,0,SUM(X14:X38)/'Sm Comm Cust Fcst'!$G45)</f>
        <v>0</v>
      </c>
      <c r="Y44" s="369">
        <f>SUM(V44:X44)</f>
        <v>0</v>
      </c>
      <c r="Z44" s="364">
        <f>IF(SUM(Z14:Z38)=0,0,SUM(Z14:Z38)/'Sm Comm Cust Fcst'!$H45)</f>
        <v>11917.548778360455</v>
      </c>
      <c r="AA44" s="302">
        <f>IF(SUM(AA14:AA38)=0,0,SUM(AA14:AA38)/'Sm Comm Cust Fcst'!$H45)</f>
        <v>1447.7118620257893</v>
      </c>
      <c r="AB44" s="302">
        <f>IF(SUM(AB14:AB38)=0,0,SUM(AB14:AB38)/'Sm Comm Cust Fcst'!$H45)</f>
        <v>458.53673599116911</v>
      </c>
      <c r="AC44" s="369">
        <f>SUM(Z44:AB44)</f>
        <v>13823.797376377413</v>
      </c>
    </row>
    <row r="45" spans="1:29" ht="13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  <c r="W45" s="12"/>
      <c r="X45" s="12"/>
      <c r="AA45" s="12"/>
      <c r="AB45" s="12"/>
    </row>
    <row r="46" spans="1:29" ht="13">
      <c r="A46" s="261" t="s">
        <v>86</v>
      </c>
      <c r="B46" s="18"/>
      <c r="C46" s="18"/>
      <c r="D46" s="18"/>
      <c r="E46" s="82">
        <f>IF(SUM(B7:D38)=0,0,SUM(B7:D38)/'Sm Comm Cust Fcst'!$B41)-E40</f>
        <v>0</v>
      </c>
      <c r="F46" s="18"/>
      <c r="G46" s="18"/>
      <c r="H46" s="18"/>
      <c r="I46" s="82">
        <f>IF(SUM(F7:H38)=0,0,SUM(F7:H38)/'Sm Comm Cust Fcst'!$C41)-I40</f>
        <v>0</v>
      </c>
      <c r="J46" s="18"/>
      <c r="K46" s="18"/>
      <c r="L46" s="18"/>
      <c r="M46" s="82">
        <f>IF(SUM(J7:L38)=0,0,SUM(J7:L38)/'Sm Comm Cust Fcst'!$D41)-M40</f>
        <v>0</v>
      </c>
      <c r="N46" s="18"/>
      <c r="O46" s="18"/>
      <c r="P46" s="18"/>
      <c r="Q46" s="82">
        <f>IF(SUM(N7:P38)=0,0,SUM(N7:P38)/'Sm Comm Cust Fcst'!$E41)-Q40</f>
        <v>0</v>
      </c>
      <c r="R46" s="18"/>
      <c r="S46" s="18"/>
      <c r="T46" s="18"/>
      <c r="U46" s="82">
        <f>IF(SUM(R7:T38)=0,0,SUM(R7:T38)/'Sm Comm Cust Fcst'!$F41)-U40</f>
        <v>0</v>
      </c>
      <c r="V46" s="18"/>
      <c r="W46" s="18"/>
      <c r="X46" s="18"/>
      <c r="Y46" s="82">
        <f>IF(SUM(V7:X38)=0,0,SUM(V7:X38)/'Sm Comm Cust Fcst'!$G41)-Y40</f>
        <v>0</v>
      </c>
      <c r="Z46" s="18"/>
      <c r="AA46" s="18"/>
      <c r="AB46" s="18"/>
      <c r="AC46" s="82">
        <f>IF(SUM(Z7:AB38)=0,0,SUM(Z7:AB38)/'Sm Comm Cust Fcst'!$H41)-AC40</f>
        <v>0</v>
      </c>
    </row>
    <row r="47" spans="1:29" ht="13">
      <c r="B47" s="18"/>
      <c r="E47" s="82">
        <f>IF(SUM(B7:D8)=0,0,SUM(B7:D8)/'Sm Comm Cust Fcst'!$B42)-E41</f>
        <v>0</v>
      </c>
      <c r="I47" s="82">
        <f>IF(SUM(F7:H8)=0,0,SUM(F7:H8)/'Sm Comm Cust Fcst'!$C42)-I41</f>
        <v>0</v>
      </c>
      <c r="M47" s="82">
        <f>IF(SUM(J7:L8)=0,0,SUM(J7:L8)/'Sm Comm Cust Fcst'!$D42)-M41</f>
        <v>0</v>
      </c>
      <c r="Q47" s="82">
        <f>IF(SUM(N7:P8)=0,0,SUM(N7:P8)/'Sm Comm Cust Fcst'!$E42)-Q41</f>
        <v>0</v>
      </c>
      <c r="U47" s="82">
        <f>IF(SUM(R7:T8)=0,0,SUM(R7:T8)/'Sm Comm Cust Fcst'!$F42)-U41</f>
        <v>0</v>
      </c>
      <c r="Y47" s="82">
        <f>IF(SUM(V7:X8)=0,0,SUM(V7:X8)/'Sm Comm Cust Fcst'!$G42)-Y41</f>
        <v>0</v>
      </c>
      <c r="AC47" s="82">
        <f>IF(SUM(Z7:AB8)=0,0,SUM(Z7:AB8)/'Sm Comm Cust Fcst'!$H42)-AC41</f>
        <v>0</v>
      </c>
    </row>
    <row r="48" spans="1:29" ht="13">
      <c r="E48" s="82">
        <f>IF(SUM(B9:D11)=0,0,SUM(B9:D11)/'Sm Comm Cust Fcst'!$B43)-E42</f>
        <v>0</v>
      </c>
      <c r="I48" s="82">
        <f>IF(SUM(F9:H11)=0,0,SUM(F9:H11)/'Sm Comm Cust Fcst'!$C43)-I42</f>
        <v>0</v>
      </c>
      <c r="M48" s="82">
        <f>IF(SUM(J9:L11)=0,0,SUM(J9:L11)/'Sm Comm Cust Fcst'!$D43)-M42</f>
        <v>0</v>
      </c>
      <c r="Q48" s="82">
        <f>IF(SUM(N9:P11)=0,0,SUM(N9:P11)/'Sm Comm Cust Fcst'!$E43)-Q42</f>
        <v>0</v>
      </c>
      <c r="U48" s="82">
        <f>IF(SUM(R9:T11)=0,0,SUM(R9:T11)/'Sm Comm Cust Fcst'!$F43)-U42</f>
        <v>0</v>
      </c>
      <c r="Y48" s="82">
        <f>IF(SUM(V9:X11)=0,0,SUM(V9:X11)/'Sm Comm Cust Fcst'!$G43)-Y42</f>
        <v>0</v>
      </c>
      <c r="AC48" s="82">
        <f>IF(SUM(Z9:AB11)=0,0,SUM(Z9:AB11)/'Sm Comm Cust Fcst'!$H43)-AC42</f>
        <v>0</v>
      </c>
    </row>
    <row r="49" spans="1:29" ht="13">
      <c r="E49" s="82">
        <f>IF(SUM(B12:D13)=0,0,SUM(B12:D13)/'Sm Comm Cust Fcst'!$B44)-E43</f>
        <v>0</v>
      </c>
      <c r="I49" s="82">
        <f>IF(SUM(F12:H13)=0,0,SUM(F12:H13)/'Sm Comm Cust Fcst'!$C44)-I43</f>
        <v>0</v>
      </c>
      <c r="M49" s="82">
        <f>IF(SUM(J12:L13)=0,0,SUM(J12:L13)/'Sm Comm Cust Fcst'!$D44)-M43</f>
        <v>0</v>
      </c>
      <c r="Q49" s="82">
        <f>IF(SUM(N12:P13)=0,0,SUM(N12:P13)/'Sm Comm Cust Fcst'!$E44)-Q43</f>
        <v>0</v>
      </c>
      <c r="U49" s="82">
        <f>IF(SUM(R12:T13)=0,0,SUM(R12:T13)/'Sm Comm Cust Fcst'!$F44)-U43</f>
        <v>0</v>
      </c>
      <c r="Y49" s="82">
        <f>IF(SUM(V12:X13)=0,0,SUM(V12:X13)/'Sm Comm Cust Fcst'!$G44)-Y43</f>
        <v>0</v>
      </c>
      <c r="AC49" s="82">
        <f>IF(SUM(Z12:AB13)=0,0,SUM(Z12:AB13)/'Sm Comm Cust Fcst'!$H44)-AC43</f>
        <v>0</v>
      </c>
    </row>
    <row r="50" spans="1:29" ht="13">
      <c r="A50" s="19"/>
      <c r="E50" s="82">
        <f>IF(SUM(B14:D38)=0,0,SUM(B14:D38)/'Sm Comm Cust Fcst'!$B45)-E44</f>
        <v>0</v>
      </c>
      <c r="I50" s="82">
        <f>IF(SUM(F14:H38)=0,0,SUM(F14:H38)/'Sm Comm Cust Fcst'!$C45)-I44</f>
        <v>0</v>
      </c>
      <c r="M50" s="82">
        <f>IF(SUM(J14:L38)=0,0,SUM(J14:L38)/'Sm Comm Cust Fcst'!$D45)-M44</f>
        <v>0</v>
      </c>
      <c r="Q50" s="82">
        <f>IF(SUM(N14:P38)=0,0,SUM(N14:P38)/'Sm Comm Cust Fcst'!$E45)-Q44</f>
        <v>0</v>
      </c>
      <c r="U50" s="82">
        <f>IF(SUM(R14:T38)=0,0,SUM(R14:T38)/'Sm Comm Cust Fcst'!$F45)-U44</f>
        <v>0</v>
      </c>
      <c r="Y50" s="82">
        <f>IF(SUM(V14:X38)=0,0,SUM(V14:X38)/'Sm Comm Cust Fcst'!$G45)-Y44</f>
        <v>0</v>
      </c>
      <c r="AC50" s="82">
        <f>IF(SUM(Z14:AB38)=0,0,SUM(Z14:AB38)/'Sm Comm Cust Fcst'!$H45)-AC44</f>
        <v>0</v>
      </c>
    </row>
    <row r="62" spans="1:29">
      <c r="A62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8" orientation="portrait" r:id="rId1"/>
  <headerFooter alignWithMargins="0">
    <oddFooter>&amp;L&amp;F
&amp;A&amp;R&amp;P of &amp;N</oddFooter>
  </headerFooter>
  <colBreaks count="1" manualBreakCount="1">
    <brk id="13" max="4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78">
    <tabColor rgb="FF00642D"/>
    <pageSetUpPr fitToPage="1"/>
  </sheetPr>
  <dimension ref="A1:P59"/>
  <sheetViews>
    <sheetView topLeftCell="A8" zoomScaleNormal="100" workbookViewId="0">
      <selection activeCell="L33" sqref="L33"/>
    </sheetView>
  </sheetViews>
  <sheetFormatPr defaultRowHeight="12.5"/>
  <cols>
    <col min="1" max="1" width="41.1796875" customWidth="1"/>
    <col min="2" max="11" width="11.1796875" customWidth="1"/>
    <col min="12" max="12" width="9.1796875" bestFit="1" customWidth="1"/>
    <col min="13" max="15" width="10.26953125" bestFit="1" customWidth="1"/>
    <col min="16" max="16" width="9.1796875" bestFit="1" customWidth="1"/>
  </cols>
  <sheetData>
    <row r="1" spans="1:16" ht="18.5" thickBot="1">
      <c r="A1" s="735" t="s">
        <v>304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6" ht="13.5" thickBot="1">
      <c r="A2" s="103"/>
      <c r="B2" s="736" t="s">
        <v>299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7" t="s">
        <v>1</v>
      </c>
      <c r="H3" s="737"/>
      <c r="I3" s="737"/>
      <c r="J3" s="737"/>
      <c r="K3" s="738"/>
      <c r="L3" s="736" t="s">
        <v>305</v>
      </c>
      <c r="M3" s="737"/>
      <c r="N3" s="737"/>
      <c r="O3" s="737"/>
      <c r="P3" s="738"/>
    </row>
    <row r="4" spans="1:16" ht="13.5" thickBot="1">
      <c r="A4" s="77" t="s">
        <v>47</v>
      </c>
      <c r="B4" s="494" t="s">
        <v>87</v>
      </c>
      <c r="C4" s="495" t="s">
        <v>109</v>
      </c>
      <c r="D4" s="495" t="s">
        <v>110</v>
      </c>
      <c r="E4" s="495" t="s">
        <v>111</v>
      </c>
      <c r="F4" s="496" t="s">
        <v>128</v>
      </c>
      <c r="G4" s="493" t="s">
        <v>87</v>
      </c>
      <c r="H4" s="491" t="s">
        <v>109</v>
      </c>
      <c r="I4" s="491" t="s">
        <v>110</v>
      </c>
      <c r="J4" s="491" t="s">
        <v>111</v>
      </c>
      <c r="K4" s="492" t="s">
        <v>129</v>
      </c>
      <c r="L4" s="493" t="s">
        <v>87</v>
      </c>
      <c r="M4" s="491" t="s">
        <v>109</v>
      </c>
      <c r="N4" s="491" t="s">
        <v>110</v>
      </c>
      <c r="O4" s="491" t="s">
        <v>111</v>
      </c>
      <c r="P4" s="492" t="s">
        <v>2</v>
      </c>
    </row>
    <row r="5" spans="1:16" ht="13">
      <c r="A5" s="453"/>
      <c r="B5" s="35"/>
      <c r="C5" s="146"/>
      <c r="D5" s="146"/>
      <c r="E5" s="146"/>
      <c r="F5" s="146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 ht="13">
      <c r="A6" s="117"/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 ht="13">
      <c r="A7" s="117" t="s">
        <v>49</v>
      </c>
      <c r="B7" s="36"/>
      <c r="C7" s="66"/>
      <c r="D7" s="66"/>
      <c r="E7" s="66"/>
      <c r="F7" s="66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 ht="13">
      <c r="A8" s="375"/>
      <c r="B8" s="37"/>
      <c r="C8" s="67"/>
      <c r="D8" s="67"/>
      <c r="E8" s="67"/>
      <c r="F8" s="67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 ht="13">
      <c r="A9" s="117" t="s">
        <v>53</v>
      </c>
      <c r="B9" s="111">
        <f>'Sch TOU-A TSM'!$R$41</f>
        <v>589.20209093746712</v>
      </c>
      <c r="C9" s="33">
        <f>'Sch TOU-A TSM'!$R$42</f>
        <v>2031.6513172812186</v>
      </c>
      <c r="D9" s="33">
        <f>'Sch TOU-A TSM'!$R$43</f>
        <v>6880.4710826537967</v>
      </c>
      <c r="E9" s="33">
        <f>'Sch TOU-A TSM'!$R$44</f>
        <v>11917.548778360455</v>
      </c>
      <c r="F9" s="33">
        <f>'Sch TOU-A TSM'!$R$40</f>
        <v>2861.8799519419031</v>
      </c>
      <c r="G9" s="111"/>
      <c r="H9" s="33"/>
      <c r="I9" s="33"/>
      <c r="J9" s="33"/>
      <c r="K9" s="34"/>
      <c r="L9" s="111">
        <f>'Sch TOU-A TSM'!$Z$41</f>
        <v>589.20209093746712</v>
      </c>
      <c r="M9" s="33">
        <f>'Sch TOU-A TSM'!$Z$42</f>
        <v>2031.6513172812186</v>
      </c>
      <c r="N9" s="33">
        <f>'Sch TOU-A TSM'!$Z$43</f>
        <v>6880.4710826537967</v>
      </c>
      <c r="O9" s="33">
        <f>'Sch TOU-A TSM'!$Z$44</f>
        <v>11917.548778360455</v>
      </c>
      <c r="P9" s="34">
        <f>'Sch TOU-A TSM'!$Z$40</f>
        <v>2861.8799519419031</v>
      </c>
    </row>
    <row r="10" spans="1:16" ht="13">
      <c r="A10" s="117" t="s">
        <v>51</v>
      </c>
      <c r="B10" s="111">
        <f>'Sch TOU-A TSM'!$S$41</f>
        <v>328.678580465099</v>
      </c>
      <c r="C10" s="33">
        <f>'Sch TOU-A TSM'!$S$42</f>
        <v>482.52152479777362</v>
      </c>
      <c r="D10" s="33">
        <f>'Sch TOU-A TSM'!$S$43</f>
        <v>596.43576813779839</v>
      </c>
      <c r="E10" s="33">
        <f>'Sch TOU-A TSM'!$S$44</f>
        <v>1447.7118620257893</v>
      </c>
      <c r="F10" s="33">
        <f>'Sch TOU-A TSM'!$S$40</f>
        <v>494.94328406706217</v>
      </c>
      <c r="G10" s="111"/>
      <c r="H10" s="33"/>
      <c r="I10" s="33"/>
      <c r="J10" s="33"/>
      <c r="K10" s="34"/>
      <c r="L10" s="111">
        <f>'Sch TOU-A TSM'!$AA$41</f>
        <v>328.678580465099</v>
      </c>
      <c r="M10" s="33">
        <f>'Sch TOU-A TSM'!$AA$42</f>
        <v>482.52152479777362</v>
      </c>
      <c r="N10" s="33">
        <f>'Sch TOU-A TSM'!$AA$43</f>
        <v>596.43576813779839</v>
      </c>
      <c r="O10" s="33">
        <f>'Sch TOU-A TSM'!$AA$44</f>
        <v>1447.7118620257893</v>
      </c>
      <c r="P10" s="34">
        <f>'Sch TOU-A TSM'!$AA$40</f>
        <v>494.94328406706217</v>
      </c>
    </row>
    <row r="11" spans="1:16" ht="13">
      <c r="A11" s="117" t="s">
        <v>52</v>
      </c>
      <c r="B11" s="111">
        <f>'Sch TOU-A TSM'!$T$41</f>
        <v>263.65085114339092</v>
      </c>
      <c r="C11" s="33">
        <f>'Sch TOU-A TSM'!$T$42</f>
        <v>276.08126932500363</v>
      </c>
      <c r="D11" s="33">
        <f>'Sch TOU-A TSM'!$T$43</f>
        <v>269.47314875170684</v>
      </c>
      <c r="E11" s="33">
        <f>'Sch TOU-A TSM'!$T$44</f>
        <v>458.53673599116911</v>
      </c>
      <c r="F11" s="33">
        <f>'Sch TOU-A TSM'!$T$40</f>
        <v>277.29500664527319</v>
      </c>
      <c r="G11" s="111"/>
      <c r="H11" s="33"/>
      <c r="I11" s="33"/>
      <c r="J11" s="33"/>
      <c r="K11" s="34"/>
      <c r="L11" s="111">
        <f>'Sch TOU-A TSM'!$AB$41</f>
        <v>263.65085114339092</v>
      </c>
      <c r="M11" s="33">
        <f>'Sch TOU-A TSM'!$AB$42</f>
        <v>276.08126932500363</v>
      </c>
      <c r="N11" s="33">
        <f>'Sch TOU-A TSM'!$AB$43</f>
        <v>269.47314875170684</v>
      </c>
      <c r="O11" s="33">
        <f>'Sch TOU-A TSM'!$AB$44</f>
        <v>458.53673599116911</v>
      </c>
      <c r="P11" s="34">
        <f>'Sch TOU-A TSM'!$AB$40</f>
        <v>277.29500664527319</v>
      </c>
    </row>
    <row r="12" spans="1:16" ht="13">
      <c r="A12" s="376"/>
      <c r="B12" s="38"/>
      <c r="C12" s="68"/>
      <c r="D12" s="68"/>
      <c r="E12" s="68"/>
      <c r="F12" s="68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 ht="13">
      <c r="A13" s="117" t="s">
        <v>35</v>
      </c>
      <c r="B13" s="114">
        <f t="shared" ref="B13:P13" si="0">SUM(B9:B11)</f>
        <v>1181.5315225459572</v>
      </c>
      <c r="C13" s="30">
        <f t="shared" si="0"/>
        <v>2790.2541114039959</v>
      </c>
      <c r="D13" s="30">
        <f t="shared" si="0"/>
        <v>7746.3799995433019</v>
      </c>
      <c r="E13" s="30">
        <f t="shared" si="0"/>
        <v>13823.797376377413</v>
      </c>
      <c r="F13" s="30">
        <f t="shared" si="0"/>
        <v>3634.1182426542382</v>
      </c>
      <c r="G13" s="114"/>
      <c r="H13" s="30"/>
      <c r="I13" s="30"/>
      <c r="J13" s="30"/>
      <c r="K13" s="40"/>
      <c r="L13" s="114">
        <f t="shared" si="0"/>
        <v>1181.5315225459572</v>
      </c>
      <c r="M13" s="30">
        <f t="shared" si="0"/>
        <v>2790.2541114039959</v>
      </c>
      <c r="N13" s="30">
        <f t="shared" si="0"/>
        <v>7746.3799995433019</v>
      </c>
      <c r="O13" s="30">
        <f t="shared" si="0"/>
        <v>13823.797376377413</v>
      </c>
      <c r="P13" s="40">
        <f t="shared" si="0"/>
        <v>3634.1182426542382</v>
      </c>
    </row>
    <row r="14" spans="1:16" ht="13">
      <c r="A14" s="376"/>
      <c r="B14" s="38"/>
      <c r="C14" s="68"/>
      <c r="D14" s="68"/>
      <c r="E14" s="68"/>
      <c r="F14" s="68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 ht="13">
      <c r="A15" s="117" t="s">
        <v>61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 ht="13">
      <c r="A16" s="377">
        <f>Inputs!C3</f>
        <v>2.9094935671404847E-2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 ht="13">
      <c r="A17" s="36" t="s">
        <v>60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 ht="13">
      <c r="A18" s="47">
        <f>Inputs!C4</f>
        <v>1.99475E-2</v>
      </c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 ht="13">
      <c r="A19" s="377"/>
      <c r="B19" s="114"/>
      <c r="C19" s="30"/>
      <c r="D19" s="30"/>
      <c r="E19" s="30"/>
      <c r="F19" s="3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 ht="13">
      <c r="A20" s="378" t="s">
        <v>92</v>
      </c>
      <c r="B20" s="30">
        <f>(B9*(1+$A$16)*(1+$A$18))</f>
        <v>618.43995252155162</v>
      </c>
      <c r="C20" s="30">
        <f t="shared" ref="C20:P20" si="1">(C9*(1+$A$16)*(1+$A$18))</f>
        <v>2132.4675582882378</v>
      </c>
      <c r="D20" s="30">
        <f t="shared" si="1"/>
        <v>7221.8993705742459</v>
      </c>
      <c r="E20" s="30">
        <f t="shared" si="1"/>
        <v>12508.93100011883</v>
      </c>
      <c r="F20" s="30">
        <f t="shared" si="1"/>
        <v>3003.8944681701296</v>
      </c>
      <c r="G20" s="114"/>
      <c r="H20" s="30"/>
      <c r="I20" s="30"/>
      <c r="J20" s="30"/>
      <c r="K20" s="40"/>
      <c r="L20" s="114">
        <f t="shared" si="1"/>
        <v>618.43995252155162</v>
      </c>
      <c r="M20" s="30">
        <f t="shared" si="1"/>
        <v>2132.4675582882378</v>
      </c>
      <c r="N20" s="30">
        <f t="shared" si="1"/>
        <v>7221.8993705742459</v>
      </c>
      <c r="O20" s="30">
        <f t="shared" si="1"/>
        <v>12508.93100011883</v>
      </c>
      <c r="P20" s="40">
        <f t="shared" si="1"/>
        <v>3003.8944681701296</v>
      </c>
    </row>
    <row r="21" spans="1:16" ht="13">
      <c r="A21" s="378" t="s">
        <v>51</v>
      </c>
      <c r="B21" s="30">
        <f t="shared" ref="B21:P22" si="2">(B10*(1+$A$16)*(1+$A$18))</f>
        <v>344.98853419591808</v>
      </c>
      <c r="C21" s="30">
        <f t="shared" si="2"/>
        <v>506.46559724824976</v>
      </c>
      <c r="D21" s="30">
        <f t="shared" si="2"/>
        <v>626.03258508877707</v>
      </c>
      <c r="E21" s="30">
        <f t="shared" si="2"/>
        <v>1519.5513882029625</v>
      </c>
      <c r="F21" s="30">
        <f t="shared" si="2"/>
        <v>519.5037590791253</v>
      </c>
      <c r="G21" s="114"/>
      <c r="H21" s="30"/>
      <c r="I21" s="30"/>
      <c r="J21" s="30"/>
      <c r="K21" s="40"/>
      <c r="L21" s="114">
        <f t="shared" si="2"/>
        <v>344.98853419591808</v>
      </c>
      <c r="M21" s="30">
        <f t="shared" si="2"/>
        <v>506.46559724824976</v>
      </c>
      <c r="N21" s="30">
        <f t="shared" si="2"/>
        <v>626.03258508877707</v>
      </c>
      <c r="O21" s="30">
        <f t="shared" si="2"/>
        <v>1519.5513882029625</v>
      </c>
      <c r="P21" s="40">
        <f t="shared" si="2"/>
        <v>519.5037590791253</v>
      </c>
    </row>
    <row r="22" spans="1:16" ht="13">
      <c r="A22" s="378" t="s">
        <v>52</v>
      </c>
      <c r="B22" s="30">
        <f t="shared" si="2"/>
        <v>276.73394641888729</v>
      </c>
      <c r="C22" s="30">
        <f t="shared" si="2"/>
        <v>289.78119684162118</v>
      </c>
      <c r="D22" s="30">
        <f t="shared" si="2"/>
        <v>282.84516277713908</v>
      </c>
      <c r="E22" s="30">
        <f t="shared" si="2"/>
        <v>481.2906158981408</v>
      </c>
      <c r="F22" s="30">
        <f t="shared" si="2"/>
        <v>291.0551632145627</v>
      </c>
      <c r="G22" s="114"/>
      <c r="H22" s="30"/>
      <c r="I22" s="30"/>
      <c r="J22" s="30"/>
      <c r="K22" s="40"/>
      <c r="L22" s="114">
        <f t="shared" si="2"/>
        <v>276.73394641888729</v>
      </c>
      <c r="M22" s="30">
        <f t="shared" si="2"/>
        <v>289.78119684162118</v>
      </c>
      <c r="N22" s="30">
        <f t="shared" si="2"/>
        <v>282.84516277713908</v>
      </c>
      <c r="O22" s="30">
        <f t="shared" si="2"/>
        <v>481.2906158981408</v>
      </c>
      <c r="P22" s="40">
        <f t="shared" si="2"/>
        <v>291.0551632145627</v>
      </c>
    </row>
    <row r="23" spans="1:16" ht="13">
      <c r="A23" s="377"/>
      <c r="B23" s="114"/>
      <c r="C23" s="30"/>
      <c r="D23" s="30"/>
      <c r="E23" s="30"/>
      <c r="F23" s="3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 ht="13">
      <c r="A24" s="117" t="s">
        <v>35</v>
      </c>
      <c r="B24" s="114">
        <f t="shared" ref="B24:P24" si="3">SUM(B20:B22)</f>
        <v>1240.1624331363569</v>
      </c>
      <c r="C24" s="30">
        <f t="shared" si="3"/>
        <v>2928.7143523781087</v>
      </c>
      <c r="D24" s="30">
        <f t="shared" si="3"/>
        <v>8130.7771184401627</v>
      </c>
      <c r="E24" s="30">
        <f t="shared" si="3"/>
        <v>14509.773004219933</v>
      </c>
      <c r="F24" s="30">
        <f t="shared" si="3"/>
        <v>3814.4533904638174</v>
      </c>
      <c r="G24" s="114"/>
      <c r="H24" s="30"/>
      <c r="I24" s="30"/>
      <c r="J24" s="30"/>
      <c r="K24" s="40"/>
      <c r="L24" s="114">
        <f t="shared" si="3"/>
        <v>1240.1624331363569</v>
      </c>
      <c r="M24" s="30">
        <f t="shared" si="3"/>
        <v>2928.7143523781087</v>
      </c>
      <c r="N24" s="30">
        <f t="shared" si="3"/>
        <v>8130.7771184401627</v>
      </c>
      <c r="O24" s="30">
        <f t="shared" si="3"/>
        <v>14509.773004219933</v>
      </c>
      <c r="P24" s="40">
        <f t="shared" si="3"/>
        <v>3814.4533904638174</v>
      </c>
    </row>
    <row r="25" spans="1:16" ht="13">
      <c r="A25" s="117"/>
      <c r="B25" s="114"/>
      <c r="C25" s="30"/>
      <c r="D25" s="30"/>
      <c r="E25" s="30"/>
      <c r="F25" s="30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 ht="13">
      <c r="A26" s="378" t="str">
        <f>'Resid TSM Sum by Rate Schedule'!A25</f>
        <v>Annualized Transformer Cost at 8.05%</v>
      </c>
      <c r="B26" s="119">
        <f>B20*Inputs!$C$5</f>
        <v>49.771220236234036</v>
      </c>
      <c r="C26" s="73">
        <f>C20*Inputs!$C$5</f>
        <v>171.61813698717901</v>
      </c>
      <c r="D26" s="73">
        <f>D20*Inputs!$C$5</f>
        <v>581.20880229555473</v>
      </c>
      <c r="E26" s="73">
        <f>E20*Inputs!$C$5</f>
        <v>1006.7020366137706</v>
      </c>
      <c r="F26" s="73">
        <f>F20*Inputs!$C$5</f>
        <v>241.74940919020031</v>
      </c>
      <c r="G26" s="119"/>
      <c r="H26" s="73"/>
      <c r="I26" s="73"/>
      <c r="J26" s="73"/>
      <c r="K26" s="75"/>
      <c r="L26" s="119">
        <f>L20*Inputs!$C$5</f>
        <v>49.771220236234036</v>
      </c>
      <c r="M26" s="73">
        <f>M20*Inputs!$C$5</f>
        <v>171.61813698717901</v>
      </c>
      <c r="N26" s="73">
        <f>N20*Inputs!$C$5</f>
        <v>581.20880229555473</v>
      </c>
      <c r="O26" s="73">
        <f>O20*Inputs!$C$5</f>
        <v>1006.7020366137706</v>
      </c>
      <c r="P26" s="75">
        <f>P20*Inputs!$C$5</f>
        <v>241.74940919020031</v>
      </c>
    </row>
    <row r="27" spans="1:16" ht="13">
      <c r="A27" s="378" t="str">
        <f>'Resid TSM Sum by Rate Schedule'!A26</f>
        <v>Annualized Services Cost at 7.08%</v>
      </c>
      <c r="B27" s="119">
        <f>B21*Inputs!$C$6</f>
        <v>24.416584186927281</v>
      </c>
      <c r="C27" s="73">
        <f>C21*Inputs!$C$6</f>
        <v>35.845133003671322</v>
      </c>
      <c r="D27" s="73">
        <f>D21*Inputs!$C$6</f>
        <v>44.307493735137307</v>
      </c>
      <c r="E27" s="73">
        <f>E21*Inputs!$C$6</f>
        <v>107.54634058461079</v>
      </c>
      <c r="F27" s="73">
        <f>F21*Inputs!$C$6</f>
        <v>36.767909688781579</v>
      </c>
      <c r="G27" s="119"/>
      <c r="H27" s="73"/>
      <c r="I27" s="73"/>
      <c r="J27" s="73"/>
      <c r="K27" s="75"/>
      <c r="L27" s="119">
        <f>L21*Inputs!$C$6</f>
        <v>24.416584186927281</v>
      </c>
      <c r="M27" s="73">
        <f>M21*Inputs!$C$6</f>
        <v>35.845133003671322</v>
      </c>
      <c r="N27" s="73">
        <f>N21*Inputs!$C$6</f>
        <v>44.307493735137307</v>
      </c>
      <c r="O27" s="73">
        <f>O21*Inputs!$C$6</f>
        <v>107.54634058461079</v>
      </c>
      <c r="P27" s="75">
        <f>P21*Inputs!$C$6</f>
        <v>36.767909688781579</v>
      </c>
    </row>
    <row r="28" spans="1:16" ht="16">
      <c r="A28" s="378" t="str">
        <f>'Resid TSM Sum by Rate Schedule'!A27</f>
        <v>Annualized Meter Cost at 10.78%</v>
      </c>
      <c r="B28" s="459">
        <f>B22*Inputs!$C$7</f>
        <v>29.822634819205323</v>
      </c>
      <c r="C28" s="458">
        <f>C22*Inputs!$C$7</f>
        <v>31.228690670997846</v>
      </c>
      <c r="D28" s="458">
        <f>D22*Inputs!$C$7</f>
        <v>30.481218907322305</v>
      </c>
      <c r="E28" s="458">
        <f>E22*Inputs!$C$7</f>
        <v>51.866980779128014</v>
      </c>
      <c r="F28" s="458">
        <f>F22*Inputs!$C$7</f>
        <v>31.365981503596579</v>
      </c>
      <c r="G28" s="459"/>
      <c r="H28" s="458"/>
      <c r="I28" s="458"/>
      <c r="J28" s="458"/>
      <c r="K28" s="457"/>
      <c r="L28" s="459">
        <f>L22*Inputs!$C$7</f>
        <v>29.822634819205323</v>
      </c>
      <c r="M28" s="458">
        <f>M22*Inputs!$C$7</f>
        <v>31.228690670997846</v>
      </c>
      <c r="N28" s="458">
        <f>N22*Inputs!$C$7</f>
        <v>30.481218907322305</v>
      </c>
      <c r="O28" s="458">
        <f>O22*Inputs!$C$7</f>
        <v>51.866980779128014</v>
      </c>
      <c r="P28" s="457">
        <f>P22*Inputs!$C$7</f>
        <v>31.365981503596579</v>
      </c>
    </row>
    <row r="29" spans="1:16" ht="13">
      <c r="A29" s="453" t="s">
        <v>275</v>
      </c>
      <c r="B29" s="119">
        <f>SUM(B26:B28)</f>
        <v>104.01043924236663</v>
      </c>
      <c r="C29" s="73">
        <f t="shared" ref="C29:P29" si="4">SUM(C26:C28)</f>
        <v>238.69196066184819</v>
      </c>
      <c r="D29" s="73">
        <f t="shared" si="4"/>
        <v>655.99751493801432</v>
      </c>
      <c r="E29" s="73">
        <f t="shared" si="4"/>
        <v>1166.1153579775093</v>
      </c>
      <c r="F29" s="73">
        <f t="shared" si="4"/>
        <v>309.88330038257845</v>
      </c>
      <c r="G29" s="119"/>
      <c r="H29" s="73"/>
      <c r="I29" s="73"/>
      <c r="J29" s="73"/>
      <c r="K29" s="75"/>
      <c r="L29" s="119">
        <f t="shared" si="4"/>
        <v>104.01043924236663</v>
      </c>
      <c r="M29" s="73">
        <f t="shared" si="4"/>
        <v>238.69196066184819</v>
      </c>
      <c r="N29" s="73">
        <f t="shared" si="4"/>
        <v>655.99751493801432</v>
      </c>
      <c r="O29" s="73">
        <f t="shared" si="4"/>
        <v>1166.1153579775093</v>
      </c>
      <c r="P29" s="75">
        <f t="shared" si="4"/>
        <v>309.88330038257845</v>
      </c>
    </row>
    <row r="30" spans="1:16" ht="13">
      <c r="A30" s="377"/>
      <c r="B30" s="47"/>
      <c r="C30" s="69"/>
      <c r="D30" s="69"/>
      <c r="E30" s="69"/>
      <c r="F30" s="69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 ht="13">
      <c r="A31" s="117" t="s">
        <v>50</v>
      </c>
      <c r="B31" s="148">
        <f>'Distribution O&amp;M Allocations'!$M$20</f>
        <v>39.467809072334909</v>
      </c>
      <c r="C31" s="70">
        <f>'Distribution O&amp;M Allocations'!$M$20</f>
        <v>39.467809072334909</v>
      </c>
      <c r="D31" s="70">
        <f>'Distribution O&amp;M Allocations'!$M$20</f>
        <v>39.467809072334909</v>
      </c>
      <c r="E31" s="70">
        <f>'Distribution O&amp;M Allocations'!$M$20</f>
        <v>39.467809072334909</v>
      </c>
      <c r="F31" s="70">
        <f>'Distribution O&amp;M Allocations'!$M$20</f>
        <v>39.467809072334909</v>
      </c>
      <c r="G31" s="148"/>
      <c r="H31" s="70"/>
      <c r="I31" s="70"/>
      <c r="J31" s="70"/>
      <c r="K31" s="282"/>
      <c r="L31" s="148">
        <f>B31</f>
        <v>39.467809072334909</v>
      </c>
      <c r="M31" s="70">
        <f t="shared" ref="M31:P31" si="5">C31</f>
        <v>39.467809072334909</v>
      </c>
      <c r="N31" s="70">
        <f t="shared" si="5"/>
        <v>39.467809072334909</v>
      </c>
      <c r="O31" s="70">
        <f t="shared" si="5"/>
        <v>39.467809072334909</v>
      </c>
      <c r="P31" s="282">
        <f t="shared" si="5"/>
        <v>39.467809072334909</v>
      </c>
    </row>
    <row r="32" spans="1:16" ht="13">
      <c r="A32" s="118"/>
      <c r="B32" s="11"/>
      <c r="C32" s="12"/>
      <c r="D32" s="12"/>
      <c r="E32" s="12"/>
      <c r="F32" s="12"/>
      <c r="G32" s="11"/>
      <c r="H32" s="12"/>
      <c r="I32" s="12"/>
      <c r="J32" s="12"/>
      <c r="K32" s="76"/>
      <c r="L32" s="148"/>
      <c r="M32" s="70"/>
      <c r="N32" s="70"/>
      <c r="O32" s="70"/>
      <c r="P32" s="282"/>
    </row>
    <row r="33" spans="1:16" ht="13">
      <c r="A33" s="117" t="s">
        <v>57</v>
      </c>
      <c r="B33" s="714">
        <v>52.536506967829752</v>
      </c>
      <c r="C33" s="715">
        <v>52.536506967829752</v>
      </c>
      <c r="D33" s="715">
        <v>52.536506967829752</v>
      </c>
      <c r="E33" s="715">
        <v>52.536506967829752</v>
      </c>
      <c r="F33" s="715">
        <v>52.536506967829752</v>
      </c>
      <c r="G33" s="288"/>
      <c r="H33" s="83"/>
      <c r="I33" s="83"/>
      <c r="J33" s="83"/>
      <c r="K33" s="289"/>
      <c r="L33" s="148">
        <f t="shared" ref="L33" si="6">B33</f>
        <v>52.536506967829752</v>
      </c>
      <c r="M33" s="70">
        <f t="shared" ref="M33" si="7">C33</f>
        <v>52.536506967829752</v>
      </c>
      <c r="N33" s="70">
        <f t="shared" ref="N33" si="8">D33</f>
        <v>52.536506967829752</v>
      </c>
      <c r="O33" s="70">
        <f t="shared" ref="O33" si="9">E33</f>
        <v>52.536506967829752</v>
      </c>
      <c r="P33" s="282">
        <f t="shared" ref="P33" si="10">F33</f>
        <v>52.536506967829752</v>
      </c>
    </row>
    <row r="34" spans="1:16">
      <c r="A34" s="118"/>
      <c r="B34" s="11"/>
      <c r="C34" s="12"/>
      <c r="D34" s="12"/>
      <c r="E34" s="12"/>
      <c r="F34" s="12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54" t="s">
        <v>83</v>
      </c>
      <c r="B35" s="285">
        <f t="shared" ref="B35:P35" si="11">B29+B31+B33</f>
        <v>196.0147552825313</v>
      </c>
      <c r="C35" s="286">
        <f t="shared" si="11"/>
        <v>330.69627670201282</v>
      </c>
      <c r="D35" s="286">
        <f t="shared" si="11"/>
        <v>748.00183097817899</v>
      </c>
      <c r="E35" s="286">
        <f t="shared" si="11"/>
        <v>1258.119674017674</v>
      </c>
      <c r="F35" s="286">
        <f t="shared" si="11"/>
        <v>401.88761642274312</v>
      </c>
      <c r="G35" s="285"/>
      <c r="H35" s="286"/>
      <c r="I35" s="286"/>
      <c r="J35" s="286"/>
      <c r="K35" s="287"/>
      <c r="L35" s="285">
        <f t="shared" si="11"/>
        <v>196.0147552825313</v>
      </c>
      <c r="M35" s="286">
        <f t="shared" si="11"/>
        <v>330.69627670201282</v>
      </c>
      <c r="N35" s="286">
        <f t="shared" si="11"/>
        <v>748.00183097817899</v>
      </c>
      <c r="O35" s="286">
        <f t="shared" si="11"/>
        <v>1258.119674017674</v>
      </c>
      <c r="P35" s="287">
        <f t="shared" si="11"/>
        <v>401.88761642274312</v>
      </c>
    </row>
    <row r="36" spans="1:16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59" spans="1:1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79">
    <tabColor rgb="FF00642D"/>
    <pageSetUpPr fitToPage="1"/>
  </sheetPr>
  <dimension ref="A1:P61"/>
  <sheetViews>
    <sheetView zoomScaleNormal="100" workbookViewId="0">
      <selection activeCell="C32" sqref="C32"/>
    </sheetView>
  </sheetViews>
  <sheetFormatPr defaultRowHeight="12.5"/>
  <cols>
    <col min="1" max="1" width="41.1796875" customWidth="1"/>
    <col min="2" max="11" width="11.1796875" customWidth="1"/>
    <col min="12" max="12" width="9.1796875" bestFit="1" customWidth="1"/>
    <col min="13" max="15" width="10.26953125" bestFit="1" customWidth="1"/>
    <col min="16" max="16" width="9.1796875" bestFit="1" customWidth="1"/>
  </cols>
  <sheetData>
    <row r="1" spans="1:16" ht="18.5" thickBot="1">
      <c r="A1" s="735" t="s">
        <v>322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6" ht="13.5" thickBot="1">
      <c r="A2" s="103"/>
      <c r="B2" s="736" t="s">
        <v>299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6" t="s">
        <v>1</v>
      </c>
      <c r="H3" s="737"/>
      <c r="I3" s="737"/>
      <c r="J3" s="737"/>
      <c r="K3" s="738"/>
      <c r="L3" s="736" t="s">
        <v>305</v>
      </c>
      <c r="M3" s="737"/>
      <c r="N3" s="737"/>
      <c r="O3" s="737"/>
      <c r="P3" s="738"/>
    </row>
    <row r="4" spans="1:16" ht="13.5" thickBot="1">
      <c r="A4" s="77" t="s">
        <v>47</v>
      </c>
      <c r="B4" s="494" t="s">
        <v>87</v>
      </c>
      <c r="C4" s="495" t="s">
        <v>109</v>
      </c>
      <c r="D4" s="495" t="s">
        <v>110</v>
      </c>
      <c r="E4" s="495" t="s">
        <v>111</v>
      </c>
      <c r="F4" s="496" t="s">
        <v>128</v>
      </c>
      <c r="G4" s="342" t="s">
        <v>87</v>
      </c>
      <c r="H4" s="343" t="s">
        <v>109</v>
      </c>
      <c r="I4" s="343" t="s">
        <v>110</v>
      </c>
      <c r="J4" s="343" t="s">
        <v>111</v>
      </c>
      <c r="K4" s="344" t="s">
        <v>129</v>
      </c>
      <c r="L4" s="342" t="s">
        <v>87</v>
      </c>
      <c r="M4" s="343" t="s">
        <v>109</v>
      </c>
      <c r="N4" s="343" t="s">
        <v>110</v>
      </c>
      <c r="O4" s="343" t="s">
        <v>111</v>
      </c>
      <c r="P4" s="344" t="s">
        <v>2</v>
      </c>
    </row>
    <row r="5" spans="1:16" ht="13">
      <c r="A5" s="86"/>
      <c r="B5" s="35"/>
      <c r="C5" s="146"/>
      <c r="D5" s="146"/>
      <c r="E5" s="146"/>
      <c r="F5" s="281"/>
      <c r="G5" s="146"/>
      <c r="H5" s="146"/>
      <c r="I5" s="146"/>
      <c r="J5" s="146"/>
      <c r="K5" s="146"/>
      <c r="L5" s="35"/>
      <c r="M5" s="146"/>
      <c r="N5" s="146"/>
      <c r="O5" s="146"/>
      <c r="P5" s="281"/>
    </row>
    <row r="6" spans="1:16" ht="13">
      <c r="A6" s="36"/>
      <c r="B6" s="36"/>
      <c r="C6" s="66"/>
      <c r="D6" s="66"/>
      <c r="E6" s="66"/>
      <c r="F6" s="132"/>
      <c r="G6" s="66"/>
      <c r="H6" s="66"/>
      <c r="I6" s="66"/>
      <c r="J6" s="66"/>
      <c r="K6" s="66"/>
      <c r="L6" s="36"/>
      <c r="M6" s="66"/>
      <c r="N6" s="66"/>
      <c r="O6" s="66"/>
      <c r="P6" s="132"/>
    </row>
    <row r="7" spans="1:16" ht="13">
      <c r="A7" s="36" t="s">
        <v>49</v>
      </c>
      <c r="B7" s="36"/>
      <c r="C7" s="66"/>
      <c r="D7" s="66"/>
      <c r="E7" s="66"/>
      <c r="F7" s="132"/>
      <c r="G7" s="66"/>
      <c r="H7" s="66"/>
      <c r="I7" s="66"/>
      <c r="J7" s="66"/>
      <c r="K7" s="66"/>
      <c r="L7" s="36"/>
      <c r="M7" s="66"/>
      <c r="N7" s="66"/>
      <c r="O7" s="66"/>
      <c r="P7" s="132"/>
    </row>
    <row r="8" spans="1:16" ht="13">
      <c r="A8" s="37"/>
      <c r="B8" s="37"/>
      <c r="C8" s="67"/>
      <c r="D8" s="67"/>
      <c r="E8" s="67"/>
      <c r="F8" s="133"/>
      <c r="G8" s="67"/>
      <c r="H8" s="67"/>
      <c r="I8" s="67"/>
      <c r="J8" s="67"/>
      <c r="K8" s="67"/>
      <c r="L8" s="37"/>
      <c r="M8" s="67"/>
      <c r="N8" s="67"/>
      <c r="O8" s="67"/>
      <c r="P8" s="133"/>
    </row>
    <row r="9" spans="1:16" ht="13">
      <c r="A9" s="36" t="s">
        <v>53</v>
      </c>
      <c r="B9" s="111">
        <f>'Sch TOU-A TSM Summary'!B9*Inputs!$C$12</f>
        <v>639.36915147353295</v>
      </c>
      <c r="C9" s="33">
        <f>'Sch TOU-A TSM Summary'!C9*Inputs!$C$12</f>
        <v>2204.6343670529172</v>
      </c>
      <c r="D9" s="33">
        <f>'Sch TOU-A TSM Summary'!D9*Inputs!$C$12</f>
        <v>7466.3023528228241</v>
      </c>
      <c r="E9" s="33">
        <f>'Sch TOU-A TSM Summary'!E9*Inputs!$C$12</f>
        <v>12932.257314194518</v>
      </c>
      <c r="F9" s="34">
        <f>'Sch TOU-A TSM Summary'!F9*Inputs!$C$12</f>
        <v>3105.5520417126436</v>
      </c>
      <c r="G9" s="33"/>
      <c r="H9" s="33"/>
      <c r="I9" s="33"/>
      <c r="J9" s="33"/>
      <c r="K9" s="33"/>
      <c r="L9" s="111">
        <f>'Sch TOU-A TSM Summary'!L9*Inputs!$C$12</f>
        <v>639.36915147353295</v>
      </c>
      <c r="M9" s="33">
        <f>'Sch TOU-A TSM Summary'!M9*Inputs!$C$12</f>
        <v>2204.6343670529172</v>
      </c>
      <c r="N9" s="33">
        <f>'Sch TOU-A TSM Summary'!N9*Inputs!$C$12</f>
        <v>7466.3023528228241</v>
      </c>
      <c r="O9" s="33">
        <f>'Sch TOU-A TSM Summary'!O9*Inputs!$C$12</f>
        <v>12932.257314194518</v>
      </c>
      <c r="P9" s="34">
        <f>'Sch TOU-A TSM Summary'!P9*Inputs!$C$12</f>
        <v>3105.5520417126436</v>
      </c>
    </row>
    <row r="10" spans="1:16" ht="13">
      <c r="A10" s="36" t="s">
        <v>51</v>
      </c>
      <c r="B10" s="111">
        <f>'Sch TOU-A TSM Summary'!B10*Inputs!$C$12</f>
        <v>356.66361055361369</v>
      </c>
      <c r="C10" s="33">
        <f>'Sch TOU-A TSM Summary'!C10*Inputs!$C$12</f>
        <v>523.60536838354562</v>
      </c>
      <c r="D10" s="33">
        <f>'Sch TOU-A TSM Summary'!D10*Inputs!$C$12</f>
        <v>647.21873334831969</v>
      </c>
      <c r="E10" s="33">
        <f>'Sch TOU-A TSM Summary'!E10*Inputs!$C$12</f>
        <v>1570.9759334507096</v>
      </c>
      <c r="F10" s="34">
        <f>'Sch TOU-A TSM Summary'!F10*Inputs!$C$12</f>
        <v>537.08476671897415</v>
      </c>
      <c r="G10" s="33"/>
      <c r="H10" s="33"/>
      <c r="I10" s="33"/>
      <c r="J10" s="33"/>
      <c r="K10" s="33"/>
      <c r="L10" s="111">
        <f>'Sch TOU-A TSM Summary'!L10*Inputs!$C$12</f>
        <v>356.66361055361369</v>
      </c>
      <c r="M10" s="33">
        <f>'Sch TOU-A TSM Summary'!M10*Inputs!$C$12</f>
        <v>523.60536838354562</v>
      </c>
      <c r="N10" s="33">
        <f>'Sch TOU-A TSM Summary'!N10*Inputs!$C$12</f>
        <v>647.21873334831969</v>
      </c>
      <c r="O10" s="33">
        <f>'Sch TOU-A TSM Summary'!O10*Inputs!$C$12</f>
        <v>1570.9759334507096</v>
      </c>
      <c r="P10" s="34">
        <f>'Sch TOU-A TSM Summary'!P10*Inputs!$C$12</f>
        <v>537.08476671897415</v>
      </c>
    </row>
    <row r="11" spans="1:16" ht="13">
      <c r="A11" s="36" t="s">
        <v>52</v>
      </c>
      <c r="B11" s="111">
        <f>'Sch TOU-A TSM Summary'!B11*Inputs!$C$12</f>
        <v>286.09915608516604</v>
      </c>
      <c r="C11" s="33">
        <f>'Sch TOU-A TSM Summary'!C11*Inputs!$C$12</f>
        <v>299.58795058790378</v>
      </c>
      <c r="D11" s="33">
        <f>'Sch TOU-A TSM Summary'!D11*Inputs!$C$12</f>
        <v>292.41718777363542</v>
      </c>
      <c r="E11" s="33">
        <f>'Sch TOU-A TSM Summary'!E11*Inputs!$C$12</f>
        <v>497.57841718391353</v>
      </c>
      <c r="F11" s="34">
        <f>'Sch TOU-A TSM Summary'!F11*Inputs!$C$12</f>
        <v>300.90503043624204</v>
      </c>
      <c r="G11" s="33"/>
      <c r="H11" s="33"/>
      <c r="I11" s="33"/>
      <c r="J11" s="33"/>
      <c r="K11" s="33"/>
      <c r="L11" s="111">
        <f>'Sch TOU-A TSM Summary'!L11*Inputs!$C$12</f>
        <v>286.09915608516604</v>
      </c>
      <c r="M11" s="33">
        <f>'Sch TOU-A TSM Summary'!M11*Inputs!$C$12</f>
        <v>299.58795058790378</v>
      </c>
      <c r="N11" s="33">
        <f>'Sch TOU-A TSM Summary'!N11*Inputs!$C$12</f>
        <v>292.41718777363542</v>
      </c>
      <c r="O11" s="33">
        <f>'Sch TOU-A TSM Summary'!O11*Inputs!$C$12</f>
        <v>497.57841718391353</v>
      </c>
      <c r="P11" s="34">
        <f>'Sch TOU-A TSM Summary'!P11*Inputs!$C$12</f>
        <v>300.90503043624204</v>
      </c>
    </row>
    <row r="12" spans="1:16" ht="13">
      <c r="A12" s="38"/>
      <c r="B12" s="38"/>
      <c r="C12" s="68"/>
      <c r="D12" s="68"/>
      <c r="E12" s="68"/>
      <c r="F12" s="283"/>
      <c r="G12" s="68"/>
      <c r="H12" s="68"/>
      <c r="I12" s="68"/>
      <c r="J12" s="68"/>
      <c r="K12" s="68"/>
      <c r="L12" s="38"/>
      <c r="M12" s="68"/>
      <c r="N12" s="68"/>
      <c r="O12" s="68"/>
      <c r="P12" s="283"/>
    </row>
    <row r="13" spans="1:16" ht="13">
      <c r="A13" s="36" t="s">
        <v>35</v>
      </c>
      <c r="B13" s="114">
        <f t="shared" ref="B13:P13" si="0">SUM(B9:B11)</f>
        <v>1282.1319181123126</v>
      </c>
      <c r="C13" s="30">
        <f t="shared" si="0"/>
        <v>3027.8276860243668</v>
      </c>
      <c r="D13" s="30">
        <f t="shared" si="0"/>
        <v>8405.9382739447792</v>
      </c>
      <c r="E13" s="30">
        <f t="shared" si="0"/>
        <v>15000.81166482914</v>
      </c>
      <c r="F13" s="40">
        <f t="shared" si="0"/>
        <v>3943.54183886786</v>
      </c>
      <c r="G13" s="30"/>
      <c r="H13" s="30"/>
      <c r="I13" s="30"/>
      <c r="J13" s="30"/>
      <c r="K13" s="30"/>
      <c r="L13" s="114">
        <f t="shared" si="0"/>
        <v>1282.1319181123126</v>
      </c>
      <c r="M13" s="30">
        <f t="shared" si="0"/>
        <v>3027.8276860243668</v>
      </c>
      <c r="N13" s="30">
        <f t="shared" si="0"/>
        <v>8405.9382739447792</v>
      </c>
      <c r="O13" s="30">
        <f t="shared" si="0"/>
        <v>15000.81166482914</v>
      </c>
      <c r="P13" s="40">
        <f t="shared" si="0"/>
        <v>3943.54183886786</v>
      </c>
    </row>
    <row r="14" spans="1:16" ht="13">
      <c r="A14" s="38"/>
      <c r="B14" s="38"/>
      <c r="C14" s="68"/>
      <c r="D14" s="68"/>
      <c r="E14" s="68"/>
      <c r="F14" s="283"/>
      <c r="G14" s="68"/>
      <c r="H14" s="68"/>
      <c r="I14" s="68"/>
      <c r="J14" s="68"/>
      <c r="K14" s="68"/>
      <c r="L14" s="38"/>
      <c r="M14" s="68"/>
      <c r="N14" s="68"/>
      <c r="O14" s="68"/>
      <c r="P14" s="283"/>
    </row>
    <row r="15" spans="1:16" ht="13">
      <c r="A15" s="36" t="s">
        <v>61</v>
      </c>
      <c r="B15" s="114"/>
      <c r="C15" s="30"/>
      <c r="D15" s="30"/>
      <c r="E15" s="30"/>
      <c r="F15" s="40"/>
      <c r="G15" s="30"/>
      <c r="H15" s="30"/>
      <c r="I15" s="30"/>
      <c r="J15" s="30"/>
      <c r="K15" s="30"/>
      <c r="L15" s="114"/>
      <c r="M15" s="30"/>
      <c r="N15" s="30"/>
      <c r="O15" s="30"/>
      <c r="P15" s="40"/>
    </row>
    <row r="16" spans="1:16" ht="13">
      <c r="A16" s="47">
        <f>Inputs!C3</f>
        <v>2.9094935671404847E-2</v>
      </c>
      <c r="B16" s="114"/>
      <c r="C16" s="30"/>
      <c r="D16" s="30"/>
      <c r="E16" s="30"/>
      <c r="F16" s="40"/>
      <c r="G16" s="30"/>
      <c r="H16" s="30"/>
      <c r="I16" s="30"/>
      <c r="J16" s="30"/>
      <c r="K16" s="30"/>
      <c r="L16" s="114"/>
      <c r="M16" s="30"/>
      <c r="N16" s="30"/>
      <c r="O16" s="30"/>
      <c r="P16" s="40"/>
    </row>
    <row r="17" spans="1:16" ht="13">
      <c r="A17" s="36" t="s">
        <v>60</v>
      </c>
      <c r="B17" s="114"/>
      <c r="C17" s="30"/>
      <c r="D17" s="30"/>
      <c r="E17" s="30"/>
      <c r="F17" s="40"/>
      <c r="G17" s="30"/>
      <c r="H17" s="30"/>
      <c r="I17" s="30"/>
      <c r="J17" s="30"/>
      <c r="K17" s="30"/>
      <c r="L17" s="114"/>
      <c r="M17" s="30"/>
      <c r="N17" s="30"/>
      <c r="O17" s="30"/>
      <c r="P17" s="40"/>
    </row>
    <row r="18" spans="1:16" ht="13">
      <c r="A18" s="47">
        <f>Inputs!C4</f>
        <v>1.99475E-2</v>
      </c>
      <c r="B18" s="114"/>
      <c r="C18" s="30"/>
      <c r="D18" s="30"/>
      <c r="E18" s="30"/>
      <c r="F18" s="40"/>
      <c r="G18" s="30"/>
      <c r="H18" s="30"/>
      <c r="I18" s="30"/>
      <c r="J18" s="30"/>
      <c r="K18" s="30"/>
      <c r="L18" s="114"/>
      <c r="M18" s="30"/>
      <c r="N18" s="30"/>
      <c r="O18" s="30"/>
      <c r="P18" s="40"/>
    </row>
    <row r="19" spans="1:16" ht="13">
      <c r="A19" s="47"/>
      <c r="B19" s="114"/>
      <c r="C19" s="30"/>
      <c r="D19" s="30"/>
      <c r="E19" s="30"/>
      <c r="F19" s="40"/>
      <c r="G19" s="30"/>
      <c r="H19" s="30"/>
      <c r="I19" s="30"/>
      <c r="J19" s="30"/>
      <c r="K19" s="30"/>
      <c r="L19" s="114"/>
      <c r="M19" s="30"/>
      <c r="N19" s="30"/>
      <c r="O19" s="30"/>
      <c r="P19" s="40"/>
    </row>
    <row r="20" spans="1:16" ht="13">
      <c r="A20" s="94" t="s">
        <v>92</v>
      </c>
      <c r="B20" s="114">
        <f>(B9*(1+$A$16)*(1+$A$18))</f>
        <v>671.09644341537501</v>
      </c>
      <c r="C20" s="30">
        <f t="shared" ref="C20:P20" si="1">(C9*(1+$A$16)*(1+$A$18))</f>
        <v>2314.0345125358531</v>
      </c>
      <c r="D20" s="30">
        <f t="shared" si="1"/>
        <v>7836.801232739268</v>
      </c>
      <c r="E20" s="30">
        <f t="shared" si="1"/>
        <v>13573.992221687087</v>
      </c>
      <c r="F20" s="40">
        <f t="shared" si="1"/>
        <v>3259.6582509986561</v>
      </c>
      <c r="G20" s="30"/>
      <c r="H20" s="30"/>
      <c r="I20" s="30"/>
      <c r="J20" s="30"/>
      <c r="K20" s="30"/>
      <c r="L20" s="114">
        <f t="shared" si="1"/>
        <v>671.09644341537501</v>
      </c>
      <c r="M20" s="30">
        <f t="shared" si="1"/>
        <v>2314.0345125358531</v>
      </c>
      <c r="N20" s="30">
        <f t="shared" si="1"/>
        <v>7836.801232739268</v>
      </c>
      <c r="O20" s="30">
        <f t="shared" si="1"/>
        <v>13573.992221687087</v>
      </c>
      <c r="P20" s="40">
        <f t="shared" si="1"/>
        <v>3259.6582509986561</v>
      </c>
    </row>
    <row r="21" spans="1:16" ht="13">
      <c r="A21" s="94" t="s">
        <v>51</v>
      </c>
      <c r="B21" s="114">
        <f t="shared" ref="B21:P22" si="2">(B10*(1+$A$16)*(1+$A$18))</f>
        <v>374.36226002862571</v>
      </c>
      <c r="C21" s="30">
        <f t="shared" si="2"/>
        <v>549.58813647101749</v>
      </c>
      <c r="D21" s="30">
        <f t="shared" si="2"/>
        <v>679.33554357578544</v>
      </c>
      <c r="E21" s="30">
        <f t="shared" si="2"/>
        <v>1648.9321688419971</v>
      </c>
      <c r="F21" s="40">
        <f t="shared" si="2"/>
        <v>563.73642038718265</v>
      </c>
      <c r="G21" s="30"/>
      <c r="H21" s="30"/>
      <c r="I21" s="30"/>
      <c r="J21" s="30"/>
      <c r="K21" s="30"/>
      <c r="L21" s="114">
        <f t="shared" si="2"/>
        <v>374.36226002862571</v>
      </c>
      <c r="M21" s="30">
        <f t="shared" si="2"/>
        <v>549.58813647101749</v>
      </c>
      <c r="N21" s="30">
        <f t="shared" si="2"/>
        <v>679.33554357578544</v>
      </c>
      <c r="O21" s="30">
        <f t="shared" si="2"/>
        <v>1648.9321688419971</v>
      </c>
      <c r="P21" s="40">
        <f t="shared" si="2"/>
        <v>563.73642038718265</v>
      </c>
    </row>
    <row r="22" spans="1:16" ht="13">
      <c r="A22" s="94" t="s">
        <v>52</v>
      </c>
      <c r="B22" s="114">
        <f t="shared" si="2"/>
        <v>300.29619926203634</v>
      </c>
      <c r="C22" s="30">
        <f t="shared" si="2"/>
        <v>314.45434560970682</v>
      </c>
      <c r="D22" s="30">
        <f t="shared" si="2"/>
        <v>306.92774941697519</v>
      </c>
      <c r="E22" s="30">
        <f t="shared" si="2"/>
        <v>522.26965489779195</v>
      </c>
      <c r="F22" s="40">
        <f t="shared" si="2"/>
        <v>315.83678265703202</v>
      </c>
      <c r="G22" s="30"/>
      <c r="H22" s="30"/>
      <c r="I22" s="30"/>
      <c r="J22" s="30"/>
      <c r="K22" s="30"/>
      <c r="L22" s="114">
        <f t="shared" si="2"/>
        <v>300.29619926203634</v>
      </c>
      <c r="M22" s="30">
        <f t="shared" si="2"/>
        <v>314.45434560970682</v>
      </c>
      <c r="N22" s="30">
        <f t="shared" si="2"/>
        <v>306.92774941697519</v>
      </c>
      <c r="O22" s="30">
        <f t="shared" si="2"/>
        <v>522.26965489779195</v>
      </c>
      <c r="P22" s="40">
        <f t="shared" si="2"/>
        <v>315.83678265703202</v>
      </c>
    </row>
    <row r="23" spans="1:16" ht="13">
      <c r="A23" s="47"/>
      <c r="B23" s="114"/>
      <c r="C23" s="30"/>
      <c r="D23" s="30"/>
      <c r="E23" s="30"/>
      <c r="F23" s="40"/>
      <c r="G23" s="30"/>
      <c r="H23" s="30"/>
      <c r="I23" s="30"/>
      <c r="J23" s="30"/>
      <c r="K23" s="30"/>
      <c r="L23" s="114"/>
      <c r="M23" s="30"/>
      <c r="N23" s="30"/>
      <c r="O23" s="30"/>
      <c r="P23" s="40"/>
    </row>
    <row r="24" spans="1:16" ht="13">
      <c r="A24" s="36" t="s">
        <v>35</v>
      </c>
      <c r="B24" s="114">
        <f>SUM(B20:B22)</f>
        <v>1345.7549027060372</v>
      </c>
      <c r="C24" s="30">
        <f>SUM(C20:C22)</f>
        <v>3178.0769946165774</v>
      </c>
      <c r="D24" s="30">
        <f t="shared" ref="D24:P24" si="3">SUM(D20:D22)</f>
        <v>8823.0645257320284</v>
      </c>
      <c r="E24" s="30">
        <f t="shared" si="3"/>
        <v>15745.194045426877</v>
      </c>
      <c r="F24" s="40">
        <f t="shared" si="3"/>
        <v>4139.2314540428706</v>
      </c>
      <c r="G24" s="30"/>
      <c r="H24" s="30"/>
      <c r="I24" s="30"/>
      <c r="J24" s="30"/>
      <c r="K24" s="30"/>
      <c r="L24" s="114">
        <f t="shared" si="3"/>
        <v>1345.7549027060372</v>
      </c>
      <c r="M24" s="30">
        <f t="shared" si="3"/>
        <v>3178.0769946165774</v>
      </c>
      <c r="N24" s="30">
        <f t="shared" si="3"/>
        <v>8823.0645257320284</v>
      </c>
      <c r="O24" s="30">
        <f t="shared" si="3"/>
        <v>15745.194045426877</v>
      </c>
      <c r="P24" s="40">
        <f t="shared" si="3"/>
        <v>4139.2314540428706</v>
      </c>
    </row>
    <row r="25" spans="1:16" ht="13">
      <c r="A25" s="36"/>
      <c r="B25" s="114"/>
      <c r="C25" s="30"/>
      <c r="D25" s="30"/>
      <c r="E25" s="30"/>
      <c r="F25" s="40"/>
      <c r="G25" s="30"/>
      <c r="H25" s="30"/>
      <c r="I25" s="30"/>
      <c r="J25" s="30"/>
      <c r="K25" s="30"/>
      <c r="L25" s="114"/>
      <c r="M25" s="30"/>
      <c r="N25" s="30"/>
      <c r="O25" s="30"/>
      <c r="P25" s="40"/>
    </row>
    <row r="26" spans="1:16" ht="13">
      <c r="A26" s="94" t="str">
        <f>'Resid TSM Sum by Rate Schedule'!A25</f>
        <v>Annualized Transformer Cost at 8.05%</v>
      </c>
      <c r="B26" s="119">
        <f>B20*Inputs!$C$5</f>
        <v>54.00894419707793</v>
      </c>
      <c r="C26" s="73">
        <f>C20*Inputs!$C$5</f>
        <v>186.23040262531367</v>
      </c>
      <c r="D26" s="73">
        <f>D20*Inputs!$C$5</f>
        <v>630.69528175197252</v>
      </c>
      <c r="E26" s="73">
        <f>E20*Inputs!$C$5</f>
        <v>1092.4167392419113</v>
      </c>
      <c r="F26" s="75">
        <f>F20*Inputs!$C$5</f>
        <v>262.33293635675625</v>
      </c>
      <c r="G26" s="73"/>
      <c r="H26" s="73"/>
      <c r="I26" s="73"/>
      <c r="J26" s="73"/>
      <c r="K26" s="73"/>
      <c r="L26" s="119">
        <f>L20*Inputs!$C$5</f>
        <v>54.00894419707793</v>
      </c>
      <c r="M26" s="73">
        <f>M20*Inputs!$C$5</f>
        <v>186.23040262531367</v>
      </c>
      <c r="N26" s="73">
        <f>N20*Inputs!$C$5</f>
        <v>630.69528175197252</v>
      </c>
      <c r="O26" s="73">
        <f>O20*Inputs!$C$5</f>
        <v>1092.4167392419113</v>
      </c>
      <c r="P26" s="75">
        <f>P20*Inputs!$C$5</f>
        <v>262.33293635675625</v>
      </c>
    </row>
    <row r="27" spans="1:16" ht="13">
      <c r="A27" s="94" t="str">
        <f>'Resid TSM Sum by Rate Schedule'!A26</f>
        <v>Annualized Services Cost at 7.08%</v>
      </c>
      <c r="B27" s="119">
        <f>B21*Inputs!$C$6</f>
        <v>26.495511393449245</v>
      </c>
      <c r="C27" s="73">
        <f>C21*Inputs!$C$6</f>
        <v>38.897133302002516</v>
      </c>
      <c r="D27" s="73">
        <f>D21*Inputs!$C$6</f>
        <v>48.080013817127117</v>
      </c>
      <c r="E27" s="73">
        <f>E21*Inputs!$C$6</f>
        <v>116.70327308964688</v>
      </c>
      <c r="F27" s="75">
        <f>F21*Inputs!$C$6</f>
        <v>39.898478944241781</v>
      </c>
      <c r="G27" s="73"/>
      <c r="H27" s="73"/>
      <c r="I27" s="73"/>
      <c r="J27" s="73"/>
      <c r="K27" s="73"/>
      <c r="L27" s="119">
        <f>L21*Inputs!$C$6</f>
        <v>26.495511393449245</v>
      </c>
      <c r="M27" s="73">
        <f>M21*Inputs!$C$6</f>
        <v>38.897133302002516</v>
      </c>
      <c r="N27" s="73">
        <f>N21*Inputs!$C$6</f>
        <v>48.080013817127117</v>
      </c>
      <c r="O27" s="73">
        <f>O21*Inputs!$C$6</f>
        <v>116.70327308964688</v>
      </c>
      <c r="P27" s="75">
        <f>P21*Inputs!$C$6</f>
        <v>39.898478944241781</v>
      </c>
    </row>
    <row r="28" spans="1:16" ht="16">
      <c r="A28" s="94" t="str">
        <f>'Resid TSM Sum by Rate Schedule'!A27</f>
        <v>Annualized Meter Cost at 10.78%</v>
      </c>
      <c r="B28" s="459">
        <f>B22*Inputs!$C$7</f>
        <v>32.36185514671574</v>
      </c>
      <c r="C28" s="458">
        <f>C22*Inputs!$C$7</f>
        <v>33.887628307932161</v>
      </c>
      <c r="D28" s="458">
        <f>D22*Inputs!$C$7</f>
        <v>33.076513760576667</v>
      </c>
      <c r="E28" s="458">
        <f>E22*Inputs!$C$7</f>
        <v>56.283146309751764</v>
      </c>
      <c r="F28" s="457">
        <f>F22*Inputs!$C$7</f>
        <v>34.036608639967447</v>
      </c>
      <c r="G28" s="458"/>
      <c r="H28" s="458"/>
      <c r="I28" s="458"/>
      <c r="J28" s="458"/>
      <c r="K28" s="458"/>
      <c r="L28" s="459">
        <f>L22*Inputs!$C$7</f>
        <v>32.36185514671574</v>
      </c>
      <c r="M28" s="458">
        <f>M22*Inputs!$C$7</f>
        <v>33.887628307932161</v>
      </c>
      <c r="N28" s="458">
        <f>N22*Inputs!$C$7</f>
        <v>33.076513760576667</v>
      </c>
      <c r="O28" s="458">
        <f>O22*Inputs!$C$7</f>
        <v>56.283146309751764</v>
      </c>
      <c r="P28" s="457">
        <f>P22*Inputs!$C$7</f>
        <v>34.036608639967447</v>
      </c>
    </row>
    <row r="29" spans="1:16" ht="13">
      <c r="A29" s="86" t="s">
        <v>275</v>
      </c>
      <c r="B29" s="119">
        <f t="shared" ref="B29:P29" si="4">SUM(B26:B28)</f>
        <v>112.86631073724291</v>
      </c>
      <c r="C29" s="73">
        <f t="shared" si="4"/>
        <v>259.01516423524833</v>
      </c>
      <c r="D29" s="73">
        <f t="shared" si="4"/>
        <v>711.85180932967626</v>
      </c>
      <c r="E29" s="73">
        <f t="shared" si="4"/>
        <v>1265.40315864131</v>
      </c>
      <c r="F29" s="75">
        <f t="shared" si="4"/>
        <v>336.26802394096546</v>
      </c>
      <c r="G29" s="73"/>
      <c r="H29" s="73"/>
      <c r="I29" s="73"/>
      <c r="J29" s="73"/>
      <c r="K29" s="73"/>
      <c r="L29" s="119">
        <f t="shared" si="4"/>
        <v>112.86631073724291</v>
      </c>
      <c r="M29" s="73">
        <f t="shared" si="4"/>
        <v>259.01516423524833</v>
      </c>
      <c r="N29" s="73">
        <f t="shared" si="4"/>
        <v>711.85180932967626</v>
      </c>
      <c r="O29" s="73">
        <f t="shared" si="4"/>
        <v>1265.40315864131</v>
      </c>
      <c r="P29" s="75">
        <f t="shared" si="4"/>
        <v>336.26802394096546</v>
      </c>
    </row>
    <row r="30" spans="1:16" ht="13">
      <c r="A30" s="47"/>
      <c r="B30" s="47"/>
      <c r="C30" s="69"/>
      <c r="D30" s="69"/>
      <c r="E30" s="69"/>
      <c r="F30" s="284"/>
      <c r="G30" s="69"/>
      <c r="H30" s="69"/>
      <c r="I30" s="69"/>
      <c r="J30" s="69"/>
      <c r="K30" s="69"/>
      <c r="L30" s="47"/>
      <c r="M30" s="69"/>
      <c r="N30" s="69"/>
      <c r="O30" s="69"/>
      <c r="P30" s="284"/>
    </row>
    <row r="31" spans="1:16" ht="13">
      <c r="A31" s="36" t="s">
        <v>50</v>
      </c>
      <c r="B31" s="148">
        <f>'Sch TOU-A TSM Summary'!B$31*Inputs!$C$13</f>
        <v>41.581220803389215</v>
      </c>
      <c r="C31" s="70">
        <f>'Sch TOU-A TSM Summary'!C$31*Inputs!$C$13</f>
        <v>41.581220803389215</v>
      </c>
      <c r="D31" s="70">
        <f>'Sch TOU-A TSM Summary'!D$31*Inputs!$C$13</f>
        <v>41.581220803389215</v>
      </c>
      <c r="E31" s="70">
        <f>'Sch TOU-A TSM Summary'!E$31*Inputs!$C$13</f>
        <v>41.581220803389215</v>
      </c>
      <c r="F31" s="282">
        <f>'Sch TOU-A TSM Summary'!F$31*Inputs!$C$13</f>
        <v>41.581220803389215</v>
      </c>
      <c r="G31" s="70"/>
      <c r="H31" s="70"/>
      <c r="I31" s="70"/>
      <c r="J31" s="70"/>
      <c r="K31" s="70"/>
      <c r="L31" s="148">
        <f>'Sch TOU-A TSM Summary'!L$31*Inputs!$C$13</f>
        <v>41.581220803389215</v>
      </c>
      <c r="M31" s="70">
        <f>'Sch TOU-A TSM Summary'!M$31*Inputs!$C$13</f>
        <v>41.581220803389215</v>
      </c>
      <c r="N31" s="70">
        <f>'Sch TOU-A TSM Summary'!N$31*Inputs!$C$13</f>
        <v>41.581220803389215</v>
      </c>
      <c r="O31" s="70">
        <f>'Sch TOU-A TSM Summary'!O$31*Inputs!$C$13</f>
        <v>41.581220803389215</v>
      </c>
      <c r="P31" s="282">
        <f>'Sch TOU-A TSM Summary'!P$31*Inputs!$C$13</f>
        <v>41.581220803389215</v>
      </c>
    </row>
    <row r="32" spans="1:16" ht="16">
      <c r="A32" s="36" t="s">
        <v>330</v>
      </c>
      <c r="B32" s="546">
        <f>-Inputs!$C$18</f>
        <v>-3.0284021924274875</v>
      </c>
      <c r="C32" s="545">
        <f>-Inputs!$C$18</f>
        <v>-3.0284021924274875</v>
      </c>
      <c r="D32" s="545">
        <f>-Inputs!$C$18</f>
        <v>-3.0284021924274875</v>
      </c>
      <c r="E32" s="545">
        <f>-Inputs!$C$18</f>
        <v>-3.0284021924274875</v>
      </c>
      <c r="F32" s="547">
        <f>-Inputs!$C$18</f>
        <v>-3.0284021924274875</v>
      </c>
      <c r="G32" s="545"/>
      <c r="H32" s="545"/>
      <c r="I32" s="545"/>
      <c r="J32" s="545"/>
      <c r="K32" s="545"/>
      <c r="L32" s="546">
        <f>-Inputs!$C$18</f>
        <v>-3.0284021924274875</v>
      </c>
      <c r="M32" s="545">
        <f>-Inputs!$C$18</f>
        <v>-3.0284021924274875</v>
      </c>
      <c r="N32" s="545">
        <f>-Inputs!$C$18</f>
        <v>-3.0284021924274875</v>
      </c>
      <c r="O32" s="545">
        <f>-Inputs!$C$18</f>
        <v>-3.0284021924274875</v>
      </c>
      <c r="P32" s="547">
        <f>-Inputs!$C$18</f>
        <v>-3.0284021924274875</v>
      </c>
    </row>
    <row r="33" spans="1:16" ht="13">
      <c r="A33" s="36" t="s">
        <v>328</v>
      </c>
      <c r="B33" s="148">
        <f>B31+B32</f>
        <v>38.552818610961729</v>
      </c>
      <c r="C33" s="70">
        <f t="shared" ref="C33:P33" si="5">C31+C32</f>
        <v>38.552818610961729</v>
      </c>
      <c r="D33" s="70">
        <f t="shared" si="5"/>
        <v>38.552818610961729</v>
      </c>
      <c r="E33" s="70">
        <f t="shared" si="5"/>
        <v>38.552818610961729</v>
      </c>
      <c r="F33" s="282">
        <f t="shared" si="5"/>
        <v>38.552818610961729</v>
      </c>
      <c r="G33" s="70"/>
      <c r="H33" s="70"/>
      <c r="I33" s="70"/>
      <c r="J33" s="70"/>
      <c r="K33" s="70"/>
      <c r="L33" s="148">
        <f t="shared" si="5"/>
        <v>38.552818610961729</v>
      </c>
      <c r="M33" s="70">
        <f t="shared" si="5"/>
        <v>38.552818610961729</v>
      </c>
      <c r="N33" s="70">
        <f t="shared" si="5"/>
        <v>38.552818610961729</v>
      </c>
      <c r="O33" s="70">
        <f t="shared" si="5"/>
        <v>38.552818610961729</v>
      </c>
      <c r="P33" s="282">
        <f t="shared" si="5"/>
        <v>38.552818610961729</v>
      </c>
    </row>
    <row r="34" spans="1:16" ht="13">
      <c r="A34" s="11"/>
      <c r="B34" s="148"/>
      <c r="C34" s="70"/>
      <c r="D34" s="70"/>
      <c r="E34" s="70"/>
      <c r="F34" s="282"/>
      <c r="G34" s="70"/>
      <c r="H34" s="70"/>
      <c r="I34" s="70"/>
      <c r="J34" s="70"/>
      <c r="K34" s="70"/>
      <c r="L34" s="148"/>
      <c r="M34" s="70"/>
      <c r="N34" s="70"/>
      <c r="O34" s="70"/>
      <c r="P34" s="282"/>
    </row>
    <row r="35" spans="1:16" ht="13">
      <c r="A35" s="36" t="s">
        <v>57</v>
      </c>
      <c r="B35" s="148">
        <f>'Sch TOU-A TSM Summary'!B33*Inputs!$C$14</f>
        <v>56.488244546548479</v>
      </c>
      <c r="C35" s="70">
        <f>'Sch TOU-A TSM Summary'!C33*Inputs!$C$14</f>
        <v>56.488244546548479</v>
      </c>
      <c r="D35" s="70">
        <f>'Sch TOU-A TSM Summary'!D33*Inputs!$C$14</f>
        <v>56.488244546548479</v>
      </c>
      <c r="E35" s="70">
        <f>'Sch TOU-A TSM Summary'!E33*Inputs!$C$14</f>
        <v>56.488244546548479</v>
      </c>
      <c r="F35" s="282">
        <f>'Sch TOU-A TSM Summary'!F33*Inputs!$C$14</f>
        <v>56.488244546548479</v>
      </c>
      <c r="G35" s="70"/>
      <c r="H35" s="70"/>
      <c r="I35" s="70"/>
      <c r="J35" s="70"/>
      <c r="K35" s="70"/>
      <c r="L35" s="148">
        <f>'Sch TOU-A TSM Summary'!L33*Inputs!$C$14</f>
        <v>56.488244546548479</v>
      </c>
      <c r="M35" s="70">
        <f>'Sch TOU-A TSM Summary'!M33*Inputs!$C$14</f>
        <v>56.488244546548479</v>
      </c>
      <c r="N35" s="70">
        <f>'Sch TOU-A TSM Summary'!N33*Inputs!$C$14</f>
        <v>56.488244546548479</v>
      </c>
      <c r="O35" s="70">
        <f>'Sch TOU-A TSM Summary'!O33*Inputs!$C$14</f>
        <v>56.488244546548479</v>
      </c>
      <c r="P35" s="282">
        <f>'Sch TOU-A TSM Summary'!P33*Inputs!$C$14</f>
        <v>56.488244546548479</v>
      </c>
    </row>
    <row r="36" spans="1:16">
      <c r="A36" s="11"/>
      <c r="B36" s="11"/>
      <c r="C36" s="12"/>
      <c r="D36" s="12"/>
      <c r="E36" s="12"/>
      <c r="F36" s="76"/>
      <c r="G36" s="12"/>
      <c r="H36" s="12"/>
      <c r="I36" s="12"/>
      <c r="J36" s="12"/>
      <c r="K36" s="12"/>
      <c r="L36" s="11"/>
      <c r="M36" s="12"/>
      <c r="N36" s="12"/>
      <c r="O36" s="12"/>
      <c r="P36" s="76"/>
    </row>
    <row r="37" spans="1:16" ht="13.5" thickBot="1">
      <c r="A37" s="147" t="s">
        <v>83</v>
      </c>
      <c r="B37" s="285">
        <f t="shared" ref="B37:P37" si="6">B29+B33+B35</f>
        <v>207.90737389475314</v>
      </c>
      <c r="C37" s="286">
        <f t="shared" si="6"/>
        <v>354.0562273927585</v>
      </c>
      <c r="D37" s="286">
        <f t="shared" si="6"/>
        <v>806.89287248718642</v>
      </c>
      <c r="E37" s="286">
        <f t="shared" si="6"/>
        <v>1360.4442217988203</v>
      </c>
      <c r="F37" s="287">
        <f t="shared" si="6"/>
        <v>431.30908709847563</v>
      </c>
      <c r="G37" s="286"/>
      <c r="H37" s="286"/>
      <c r="I37" s="286"/>
      <c r="J37" s="286"/>
      <c r="K37" s="286"/>
      <c r="L37" s="285">
        <f t="shared" si="6"/>
        <v>207.90737389475314</v>
      </c>
      <c r="M37" s="286">
        <f t="shared" si="6"/>
        <v>354.0562273927585</v>
      </c>
      <c r="N37" s="286">
        <f t="shared" si="6"/>
        <v>806.89287248718642</v>
      </c>
      <c r="O37" s="286">
        <f t="shared" si="6"/>
        <v>1360.4442217988203</v>
      </c>
      <c r="P37" s="287">
        <f t="shared" si="6"/>
        <v>431.30908709847563</v>
      </c>
    </row>
    <row r="38" spans="1:16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</row>
    <row r="41" spans="1:16">
      <c r="A41" t="s">
        <v>3</v>
      </c>
    </row>
    <row r="49" spans="1:1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61" spans="1:1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9" tint="-0.499984740745262"/>
    <pageSetUpPr fitToPage="1"/>
  </sheetPr>
  <dimension ref="A1:K66"/>
  <sheetViews>
    <sheetView tabSelected="1" zoomScaleNormal="100" workbookViewId="0">
      <pane xSplit="1" ySplit="8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F9" sqref="F9"/>
    </sheetView>
  </sheetViews>
  <sheetFormatPr defaultColWidth="9.1796875" defaultRowHeight="13"/>
  <cols>
    <col min="1" max="1" width="8.26953125" style="142" customWidth="1"/>
    <col min="2" max="2" width="63.7265625" style="46" customWidth="1"/>
    <col min="3" max="4" width="15.7265625" style="46" customWidth="1"/>
    <col min="5" max="5" width="10.26953125" style="158" bestFit="1" customWidth="1"/>
    <col min="6" max="6" width="12.26953125" style="46" customWidth="1"/>
    <col min="7" max="7" width="9.54296875" style="46" bestFit="1" customWidth="1"/>
    <col min="8" max="8" width="9.1796875" style="46"/>
    <col min="9" max="9" width="13.453125" style="46" bestFit="1" customWidth="1"/>
    <col min="10" max="16384" width="9.1796875" style="46"/>
  </cols>
  <sheetData>
    <row r="1" spans="1:11">
      <c r="A1" s="726" t="str">
        <f>'Tab Descriptions'!A1:D1</f>
        <v>SAN DIEGO GAS &amp; ELECTRIC COMPANY ("SDG&amp;E")</v>
      </c>
      <c r="B1" s="726"/>
      <c r="C1" s="726"/>
      <c r="D1" s="726"/>
    </row>
    <row r="2" spans="1:11">
      <c r="A2" s="726" t="str">
        <f>'Tab Descriptions'!A2:D2</f>
        <v>TEST YEAR ("TY") 2019 GENERAL RATE CASE ("GRC") PHASE 2, ("A.") APPLICATION 19-03-002</v>
      </c>
      <c r="B2" s="726"/>
      <c r="C2" s="726"/>
      <c r="D2" s="726"/>
    </row>
    <row r="3" spans="1:11">
      <c r="A3" s="726" t="str">
        <f>'Tab Descriptions'!A3:D3</f>
        <v>MARGINAL DISTRIBUTION CUSTOMER COST WORKPAPERS FOR SCHOOL CLASSES - CHAPTER 5 (SAXE) - REBUTTAL</v>
      </c>
      <c r="B3" s="726"/>
      <c r="C3" s="726"/>
      <c r="D3" s="726"/>
    </row>
    <row r="4" spans="1:11">
      <c r="A4" s="391"/>
      <c r="B4" s="391"/>
      <c r="C4" s="391"/>
      <c r="D4" s="391"/>
    </row>
    <row r="5" spans="1:11">
      <c r="A5" s="726" t="s">
        <v>277</v>
      </c>
      <c r="B5" s="726"/>
      <c r="C5" s="726"/>
      <c r="D5" s="726"/>
    </row>
    <row r="6" spans="1:11">
      <c r="C6" s="48"/>
    </row>
    <row r="7" spans="1:11">
      <c r="A7" s="142" t="s">
        <v>80</v>
      </c>
      <c r="B7" s="46" t="s">
        <v>3</v>
      </c>
      <c r="C7" s="726" t="s">
        <v>78</v>
      </c>
      <c r="D7" s="726"/>
      <c r="F7" s="142"/>
      <c r="G7" s="338"/>
      <c r="H7" s="338"/>
      <c r="I7" s="142"/>
      <c r="J7" s="338"/>
    </row>
    <row r="8" spans="1:11" ht="15.5" thickBot="1">
      <c r="A8" s="142" t="s">
        <v>213</v>
      </c>
      <c r="C8" s="274" t="s">
        <v>276</v>
      </c>
      <c r="D8" s="373" t="s">
        <v>204</v>
      </c>
      <c r="F8" s="142"/>
      <c r="G8" s="338"/>
      <c r="H8" s="338"/>
      <c r="I8" s="582"/>
      <c r="J8" s="338"/>
    </row>
    <row r="9" spans="1:11" ht="13.5" thickBot="1">
      <c r="A9" s="142">
        <v>1</v>
      </c>
      <c r="B9" s="97" t="s">
        <v>211</v>
      </c>
      <c r="C9" s="463">
        <f>'Marg Cust Cost by Rate Schedule'!M3</f>
        <v>213.36323570765867</v>
      </c>
      <c r="D9" s="384">
        <f>C9/12</f>
        <v>17.780269642304891</v>
      </c>
      <c r="F9" s="464"/>
      <c r="G9" s="583"/>
      <c r="H9" s="584"/>
      <c r="I9" s="338"/>
      <c r="J9" s="583"/>
      <c r="K9" s="129"/>
    </row>
    <row r="10" spans="1:11" ht="13.5" thickBot="1">
      <c r="A10" s="142">
        <f t="shared" ref="A10:A48" si="0">A9+1</f>
        <v>2</v>
      </c>
      <c r="C10" s="464"/>
      <c r="D10" s="27"/>
      <c r="F10" s="464"/>
      <c r="G10" s="584"/>
      <c r="H10" s="584"/>
      <c r="I10" s="338"/>
      <c r="J10" s="338"/>
      <c r="K10" s="129"/>
    </row>
    <row r="11" spans="1:11">
      <c r="A11" s="142">
        <f t="shared" si="0"/>
        <v>3</v>
      </c>
      <c r="B11" s="96" t="s">
        <v>74</v>
      </c>
      <c r="C11" s="465"/>
      <c r="D11" s="385"/>
      <c r="F11" s="464"/>
      <c r="G11" s="584"/>
      <c r="H11" s="584"/>
      <c r="I11" s="338"/>
      <c r="J11" s="338"/>
      <c r="K11" s="129"/>
    </row>
    <row r="12" spans="1:11">
      <c r="A12" s="142">
        <f t="shared" si="0"/>
        <v>4</v>
      </c>
      <c r="B12" s="86" t="s">
        <v>134</v>
      </c>
      <c r="C12" s="383"/>
      <c r="D12" s="81"/>
      <c r="F12" s="464"/>
      <c r="G12" s="584"/>
      <c r="H12" s="584"/>
      <c r="I12" s="338"/>
      <c r="J12" s="338"/>
      <c r="K12" s="129"/>
    </row>
    <row r="13" spans="1:11">
      <c r="A13" s="142">
        <f t="shared" si="0"/>
        <v>5</v>
      </c>
      <c r="B13" s="159" t="s">
        <v>130</v>
      </c>
      <c r="C13" s="383">
        <f>'Marg Cust Cost by Rate Schedule'!M10</f>
        <v>207.90737389475314</v>
      </c>
      <c r="D13" s="386">
        <f>C13/12</f>
        <v>17.325614491229427</v>
      </c>
      <c r="F13" s="464"/>
      <c r="G13" s="583"/>
      <c r="H13" s="584"/>
      <c r="I13" s="585"/>
      <c r="J13" s="338"/>
      <c r="K13" s="129"/>
    </row>
    <row r="14" spans="1:11">
      <c r="A14" s="142">
        <f t="shared" si="0"/>
        <v>6</v>
      </c>
      <c r="B14" s="112" t="s">
        <v>131</v>
      </c>
      <c r="C14" s="383">
        <f>'Marg Cust Cost by Rate Schedule'!M11</f>
        <v>354.0562273927585</v>
      </c>
      <c r="D14" s="386">
        <f t="shared" ref="D14:D24" si="1">C14/12</f>
        <v>29.50468561606321</v>
      </c>
      <c r="F14" s="464"/>
      <c r="G14" s="583"/>
      <c r="H14" s="584"/>
      <c r="I14" s="585"/>
      <c r="J14" s="338"/>
      <c r="K14" s="129"/>
    </row>
    <row r="15" spans="1:11">
      <c r="A15" s="142">
        <f t="shared" si="0"/>
        <v>7</v>
      </c>
      <c r="B15" s="112" t="s">
        <v>132</v>
      </c>
      <c r="C15" s="383">
        <f>'Marg Cust Cost by Rate Schedule'!M12</f>
        <v>810.44467522804416</v>
      </c>
      <c r="D15" s="386">
        <f t="shared" si="1"/>
        <v>67.537056269003685</v>
      </c>
      <c r="F15" s="464"/>
      <c r="G15" s="583"/>
      <c r="H15" s="584"/>
      <c r="I15" s="585"/>
      <c r="J15" s="338"/>
      <c r="K15" s="129"/>
    </row>
    <row r="16" spans="1:11">
      <c r="A16" s="142">
        <f t="shared" si="0"/>
        <v>8</v>
      </c>
      <c r="B16" s="112" t="s">
        <v>172</v>
      </c>
      <c r="C16" s="383">
        <f>'Marg Cust Cost by Rate Schedule'!M13</f>
        <v>1360.4442217988203</v>
      </c>
      <c r="D16" s="386">
        <f t="shared" si="1"/>
        <v>113.37035181656836</v>
      </c>
      <c r="F16" s="464"/>
      <c r="G16" s="583"/>
      <c r="H16" s="584"/>
      <c r="I16" s="585"/>
      <c r="J16" s="338"/>
      <c r="K16" s="129"/>
    </row>
    <row r="17" spans="1:11">
      <c r="A17" s="142">
        <f t="shared" si="0"/>
        <v>9</v>
      </c>
      <c r="B17" s="112" t="s">
        <v>177</v>
      </c>
      <c r="C17" s="383">
        <f>'Marg Cust Cost by Rate Schedule'!M14</f>
        <v>433.13180774589722</v>
      </c>
      <c r="D17" s="386">
        <f t="shared" si="1"/>
        <v>36.094317312158104</v>
      </c>
      <c r="F17" s="464"/>
      <c r="G17" s="583"/>
      <c r="H17" s="584"/>
      <c r="I17" s="585"/>
      <c r="J17" s="338"/>
      <c r="K17" s="129"/>
    </row>
    <row r="18" spans="1:11">
      <c r="A18" s="142">
        <f>A17+1</f>
        <v>10</v>
      </c>
      <c r="B18" s="86" t="s">
        <v>135</v>
      </c>
      <c r="C18" s="383"/>
      <c r="D18" s="386"/>
      <c r="F18" s="464"/>
      <c r="G18" s="583"/>
      <c r="H18" s="584"/>
      <c r="I18" s="338"/>
      <c r="J18" s="338"/>
      <c r="K18" s="129"/>
    </row>
    <row r="19" spans="1:11">
      <c r="A19" s="142">
        <f t="shared" si="0"/>
        <v>11</v>
      </c>
      <c r="B19" s="159" t="s">
        <v>130</v>
      </c>
      <c r="C19" s="383"/>
      <c r="D19" s="386"/>
      <c r="F19" s="464"/>
      <c r="G19" s="583"/>
      <c r="H19" s="584"/>
      <c r="I19" s="585"/>
      <c r="J19" s="338"/>
      <c r="K19" s="129"/>
    </row>
    <row r="20" spans="1:11">
      <c r="A20" s="142">
        <f t="shared" si="0"/>
        <v>12</v>
      </c>
      <c r="B20" s="112" t="s">
        <v>131</v>
      </c>
      <c r="C20" s="383"/>
      <c r="D20" s="386"/>
      <c r="F20" s="464"/>
      <c r="G20" s="583"/>
      <c r="H20" s="584"/>
      <c r="I20" s="585"/>
      <c r="J20" s="338"/>
      <c r="K20" s="129"/>
    </row>
    <row r="21" spans="1:11">
      <c r="A21" s="142">
        <f t="shared" si="0"/>
        <v>13</v>
      </c>
      <c r="B21" s="112" t="s">
        <v>132</v>
      </c>
      <c r="C21" s="383"/>
      <c r="D21" s="386"/>
      <c r="F21" s="464"/>
      <c r="G21" s="583"/>
      <c r="H21" s="584"/>
      <c r="I21" s="585"/>
      <c r="J21" s="338"/>
      <c r="K21" s="129"/>
    </row>
    <row r="22" spans="1:11">
      <c r="A22" s="142">
        <f t="shared" si="0"/>
        <v>14</v>
      </c>
      <c r="B22" s="112" t="s">
        <v>172</v>
      </c>
      <c r="C22" s="383"/>
      <c r="D22" s="386"/>
      <c r="F22" s="464"/>
      <c r="G22" s="583"/>
      <c r="H22" s="584"/>
      <c r="I22" s="585"/>
      <c r="J22" s="338"/>
      <c r="K22" s="129"/>
    </row>
    <row r="23" spans="1:11">
      <c r="A23" s="142">
        <f t="shared" si="0"/>
        <v>15</v>
      </c>
      <c r="B23" s="112" t="s">
        <v>178</v>
      </c>
      <c r="C23" s="383"/>
      <c r="D23" s="386"/>
      <c r="F23" s="464"/>
      <c r="G23" s="583"/>
      <c r="H23" s="584"/>
      <c r="I23" s="338"/>
      <c r="J23" s="338"/>
      <c r="K23" s="129"/>
    </row>
    <row r="24" spans="1:11" ht="13.5" thickBot="1">
      <c r="A24" s="142">
        <f t="shared" si="0"/>
        <v>16</v>
      </c>
      <c r="B24" s="56" t="s">
        <v>79</v>
      </c>
      <c r="C24" s="466">
        <f>'Marg Cust Cost by Rate Schedule'!M27</f>
        <v>433.13180774589722</v>
      </c>
      <c r="D24" s="387">
        <f t="shared" si="1"/>
        <v>36.094317312158104</v>
      </c>
      <c r="F24" s="584"/>
      <c r="G24" s="586"/>
      <c r="H24" s="584"/>
      <c r="I24" s="338"/>
      <c r="J24" s="338"/>
      <c r="K24" s="129"/>
    </row>
    <row r="25" spans="1:11" ht="13.5" thickBot="1">
      <c r="A25" s="142">
        <f t="shared" si="0"/>
        <v>17</v>
      </c>
      <c r="B25" s="95"/>
      <c r="C25" s="464"/>
      <c r="D25" s="27"/>
      <c r="F25" s="521"/>
      <c r="G25" s="586"/>
      <c r="H25" s="584"/>
      <c r="I25" s="338"/>
      <c r="J25" s="338"/>
      <c r="K25" s="129"/>
    </row>
    <row r="26" spans="1:11">
      <c r="A26" s="142">
        <f t="shared" si="0"/>
        <v>18</v>
      </c>
      <c r="B26" s="96" t="s">
        <v>171</v>
      </c>
      <c r="C26" s="465"/>
      <c r="D26" s="385"/>
      <c r="F26" s="521"/>
      <c r="G26" s="586"/>
      <c r="H26" s="584"/>
      <c r="I26" s="338"/>
      <c r="J26" s="338"/>
      <c r="K26" s="129"/>
    </row>
    <row r="27" spans="1:11">
      <c r="A27" s="142">
        <f t="shared" si="0"/>
        <v>19</v>
      </c>
      <c r="B27" s="10" t="s">
        <v>75</v>
      </c>
      <c r="C27" s="383"/>
      <c r="D27" s="81"/>
      <c r="F27" s="521"/>
      <c r="G27" s="586"/>
      <c r="H27" s="584"/>
      <c r="I27" s="338"/>
      <c r="J27" s="338"/>
      <c r="K27" s="129"/>
    </row>
    <row r="28" spans="1:11">
      <c r="A28" s="142">
        <f t="shared" si="0"/>
        <v>20</v>
      </c>
      <c r="B28" s="10" t="s">
        <v>179</v>
      </c>
      <c r="C28" s="383">
        <f>'Marg Cust Cost by Rate Schedule'!M34</f>
        <v>2044.6838528631226</v>
      </c>
      <c r="D28" s="386">
        <f t="shared" ref="D28:D42" si="2">C28/12</f>
        <v>170.39032107192688</v>
      </c>
      <c r="F28" s="464"/>
      <c r="G28" s="583"/>
      <c r="H28" s="584"/>
      <c r="I28" s="585"/>
      <c r="J28" s="338"/>
      <c r="K28" s="129"/>
    </row>
    <row r="29" spans="1:11">
      <c r="A29" s="142">
        <f t="shared" si="0"/>
        <v>21</v>
      </c>
      <c r="B29" s="10" t="s">
        <v>180</v>
      </c>
      <c r="C29" s="383">
        <f>'Marg Cust Cost by Rate Schedule'!M35</f>
        <v>3738.1502769619838</v>
      </c>
      <c r="D29" s="386">
        <f t="shared" si="2"/>
        <v>311.51252308016529</v>
      </c>
      <c r="F29" s="464"/>
      <c r="G29" s="583"/>
      <c r="H29" s="584"/>
      <c r="I29" s="585"/>
      <c r="J29" s="338"/>
      <c r="K29" s="129"/>
    </row>
    <row r="30" spans="1:11">
      <c r="A30" s="142">
        <f t="shared" si="0"/>
        <v>22</v>
      </c>
      <c r="B30" s="10" t="s">
        <v>181</v>
      </c>
      <c r="C30" s="383"/>
      <c r="D30" s="386"/>
      <c r="F30" s="464"/>
      <c r="G30" s="583"/>
      <c r="H30" s="584"/>
      <c r="I30" s="338"/>
      <c r="J30" s="338"/>
      <c r="K30" s="129"/>
    </row>
    <row r="31" spans="1:11">
      <c r="A31" s="142">
        <f t="shared" si="0"/>
        <v>23</v>
      </c>
      <c r="B31" s="112" t="s">
        <v>177</v>
      </c>
      <c r="C31" s="383">
        <f>'Marg Cust Cost by Rate Schedule'!M37</f>
        <v>2093.1218363907024</v>
      </c>
      <c r="D31" s="386">
        <f t="shared" si="2"/>
        <v>174.42681969922521</v>
      </c>
      <c r="F31" s="464"/>
      <c r="G31" s="583"/>
      <c r="H31" s="584"/>
      <c r="I31" s="338"/>
      <c r="J31" s="338"/>
      <c r="K31" s="129"/>
    </row>
    <row r="32" spans="1:11">
      <c r="A32" s="142">
        <f t="shared" si="0"/>
        <v>24</v>
      </c>
      <c r="B32" s="10" t="s">
        <v>76</v>
      </c>
      <c r="C32" s="383"/>
      <c r="D32" s="386"/>
      <c r="F32" s="464"/>
      <c r="G32" s="583"/>
      <c r="H32" s="584"/>
      <c r="I32" s="338"/>
      <c r="J32" s="338"/>
      <c r="K32" s="129"/>
    </row>
    <row r="33" spans="1:11">
      <c r="A33" s="142">
        <f t="shared" si="0"/>
        <v>25</v>
      </c>
      <c r="B33" s="10" t="s">
        <v>179</v>
      </c>
      <c r="C33" s="383">
        <f>'Marg Cust Cost by Rate Schedule'!M39</f>
        <v>895.55323611566598</v>
      </c>
      <c r="D33" s="386">
        <f t="shared" si="2"/>
        <v>74.62943634297217</v>
      </c>
      <c r="F33" s="464"/>
      <c r="G33" s="583"/>
      <c r="H33" s="584"/>
      <c r="I33" s="585"/>
      <c r="J33" s="338"/>
      <c r="K33" s="129"/>
    </row>
    <row r="34" spans="1:11">
      <c r="A34" s="142">
        <f t="shared" si="0"/>
        <v>26</v>
      </c>
      <c r="B34" s="10" t="s">
        <v>180</v>
      </c>
      <c r="C34" s="383">
        <f>'Marg Cust Cost by Rate Schedule'!M40</f>
        <v>896.46789727333078</v>
      </c>
      <c r="D34" s="386">
        <f t="shared" si="2"/>
        <v>74.705658106110903</v>
      </c>
      <c r="F34" s="464"/>
      <c r="G34" s="583"/>
      <c r="H34" s="584"/>
      <c r="I34" s="585"/>
      <c r="J34" s="338"/>
      <c r="K34" s="129"/>
    </row>
    <row r="35" spans="1:11">
      <c r="A35" s="142">
        <f t="shared" si="0"/>
        <v>27</v>
      </c>
      <c r="B35" s="10" t="s">
        <v>181</v>
      </c>
      <c r="C35" s="383"/>
      <c r="D35" s="386"/>
      <c r="F35" s="464"/>
      <c r="G35" s="583"/>
      <c r="H35" s="584"/>
      <c r="I35" s="338"/>
      <c r="J35" s="338"/>
      <c r="K35" s="129"/>
    </row>
    <row r="36" spans="1:11">
      <c r="A36" s="142">
        <f t="shared" si="0"/>
        <v>28</v>
      </c>
      <c r="B36" s="112" t="s">
        <v>178</v>
      </c>
      <c r="C36" s="383">
        <f>'Marg Cust Cost by Rate Schedule'!M42</f>
        <v>895.8167825509255</v>
      </c>
      <c r="D36" s="386">
        <f t="shared" si="2"/>
        <v>74.651398545910453</v>
      </c>
      <c r="F36" s="464"/>
      <c r="G36" s="583"/>
      <c r="H36" s="584"/>
      <c r="I36" s="338"/>
      <c r="J36" s="338"/>
      <c r="K36" s="129"/>
    </row>
    <row r="37" spans="1:11">
      <c r="A37" s="142">
        <f>A35+1</f>
        <v>28</v>
      </c>
      <c r="B37" s="10" t="s">
        <v>166</v>
      </c>
      <c r="C37" s="467"/>
      <c r="D37" s="386"/>
      <c r="F37" s="464"/>
      <c r="G37" s="583"/>
      <c r="H37" s="584"/>
      <c r="I37" s="338"/>
      <c r="J37" s="338"/>
      <c r="K37" s="129"/>
    </row>
    <row r="38" spans="1:11">
      <c r="A38" s="142">
        <f t="shared" ref="A38:A44" si="3">A36+1</f>
        <v>29</v>
      </c>
      <c r="B38" s="10" t="s">
        <v>179</v>
      </c>
      <c r="C38" s="468"/>
      <c r="D38" s="386"/>
      <c r="F38" s="464"/>
      <c r="G38" s="583"/>
      <c r="H38" s="584"/>
      <c r="I38" s="585"/>
      <c r="J38" s="338"/>
      <c r="K38" s="129"/>
    </row>
    <row r="39" spans="1:11">
      <c r="A39" s="142">
        <f t="shared" si="3"/>
        <v>29</v>
      </c>
      <c r="B39" s="10" t="s">
        <v>180</v>
      </c>
      <c r="C39" s="468"/>
      <c r="D39" s="386"/>
      <c r="F39" s="464"/>
      <c r="G39" s="583"/>
      <c r="H39" s="584"/>
      <c r="I39" s="585"/>
      <c r="J39" s="585"/>
      <c r="K39" s="129"/>
    </row>
    <row r="40" spans="1:11">
      <c r="A40" s="142">
        <f t="shared" si="3"/>
        <v>30</v>
      </c>
      <c r="B40" s="10" t="s">
        <v>181</v>
      </c>
      <c r="C40" s="468"/>
      <c r="D40" s="386"/>
      <c r="F40" s="464"/>
      <c r="G40" s="583"/>
      <c r="H40" s="584"/>
      <c r="I40" s="338"/>
      <c r="J40" s="338"/>
      <c r="K40" s="129"/>
    </row>
    <row r="41" spans="1:11">
      <c r="A41" s="142">
        <f t="shared" si="3"/>
        <v>30</v>
      </c>
      <c r="B41" s="112" t="s">
        <v>182</v>
      </c>
      <c r="C41" s="468"/>
      <c r="D41" s="386"/>
      <c r="F41" s="464"/>
      <c r="G41" s="583"/>
      <c r="H41" s="584"/>
      <c r="I41" s="338"/>
      <c r="J41" s="338"/>
      <c r="K41" s="129"/>
    </row>
    <row r="42" spans="1:11" ht="13.5" thickBot="1">
      <c r="A42" s="142">
        <f t="shared" si="3"/>
        <v>31</v>
      </c>
      <c r="B42" s="56" t="s">
        <v>198</v>
      </c>
      <c r="C42" s="466">
        <f>'Marg Cust Cost by Rate Schedule'!M54</f>
        <v>2020.1455986050137</v>
      </c>
      <c r="D42" s="387">
        <f t="shared" si="2"/>
        <v>168.3454665504178</v>
      </c>
      <c r="F42" s="464"/>
      <c r="G42" s="583"/>
      <c r="H42" s="584"/>
      <c r="I42" s="338"/>
      <c r="J42" s="338"/>
      <c r="K42" s="129"/>
    </row>
    <row r="43" spans="1:11" ht="13.5" thickBot="1">
      <c r="A43" s="142">
        <f t="shared" si="3"/>
        <v>31</v>
      </c>
      <c r="C43" s="464"/>
      <c r="D43" s="27"/>
      <c r="F43" s="521"/>
      <c r="G43" s="586"/>
      <c r="H43" s="584"/>
      <c r="I43" s="338"/>
      <c r="J43" s="338"/>
      <c r="K43" s="129"/>
    </row>
    <row r="44" spans="1:11">
      <c r="A44" s="142">
        <f t="shared" si="3"/>
        <v>32</v>
      </c>
      <c r="B44" s="96" t="s">
        <v>77</v>
      </c>
      <c r="C44" s="465"/>
      <c r="D44" s="385"/>
      <c r="F44" s="521"/>
      <c r="G44" s="586"/>
      <c r="H44" s="584"/>
      <c r="I44" s="338"/>
      <c r="J44" s="338"/>
      <c r="K44" s="129"/>
    </row>
    <row r="45" spans="1:11">
      <c r="A45" s="142">
        <f t="shared" si="0"/>
        <v>33</v>
      </c>
      <c r="B45" s="86" t="s">
        <v>134</v>
      </c>
      <c r="C45" s="383"/>
      <c r="D45" s="81"/>
      <c r="F45" s="521"/>
      <c r="G45" s="586"/>
      <c r="H45" s="584"/>
      <c r="I45" s="338"/>
      <c r="J45" s="338"/>
      <c r="K45" s="129"/>
    </row>
    <row r="46" spans="1:11">
      <c r="A46" s="142">
        <f t="shared" si="0"/>
        <v>34</v>
      </c>
      <c r="B46" s="159" t="s">
        <v>137</v>
      </c>
      <c r="C46" s="469">
        <f>'Marg Cust Cost by Rate Schedule'!M61</f>
        <v>489.32787894959495</v>
      </c>
      <c r="D46" s="386">
        <f t="shared" ref="D46:D55" si="4">C46/12</f>
        <v>40.777323245799579</v>
      </c>
      <c r="F46" s="464"/>
      <c r="G46" s="583"/>
      <c r="H46" s="584"/>
      <c r="I46" s="585"/>
      <c r="J46" s="338"/>
      <c r="K46" s="129"/>
    </row>
    <row r="47" spans="1:11">
      <c r="A47" s="142">
        <f t="shared" si="0"/>
        <v>35</v>
      </c>
      <c r="B47" s="112" t="s">
        <v>136</v>
      </c>
      <c r="C47" s="469">
        <f>'Marg Cust Cost by Rate Schedule'!M62</f>
        <v>1966.8865779943224</v>
      </c>
      <c r="D47" s="386">
        <f t="shared" si="4"/>
        <v>163.90721483286021</v>
      </c>
      <c r="F47" s="464"/>
      <c r="G47" s="583"/>
      <c r="H47" s="584"/>
      <c r="I47" s="585"/>
      <c r="J47" s="338"/>
      <c r="K47" s="129"/>
    </row>
    <row r="48" spans="1:11">
      <c r="A48" s="142">
        <f t="shared" si="0"/>
        <v>36</v>
      </c>
      <c r="B48" s="112" t="s">
        <v>177</v>
      </c>
      <c r="C48" s="469">
        <f>'Marg Cust Cost by Rate Schedule'!M63</f>
        <v>981.84744529783723</v>
      </c>
      <c r="D48" s="386">
        <f t="shared" si="4"/>
        <v>81.82062044148644</v>
      </c>
      <c r="F48" s="464"/>
      <c r="G48" s="583"/>
      <c r="H48" s="584"/>
      <c r="I48" s="338"/>
      <c r="J48" s="338"/>
      <c r="K48" s="129"/>
    </row>
    <row r="49" spans="1:11">
      <c r="A49" s="142">
        <f>A48+1</f>
        <v>37</v>
      </c>
      <c r="B49" s="86" t="s">
        <v>135</v>
      </c>
      <c r="C49" s="469"/>
      <c r="D49" s="386"/>
      <c r="F49" s="464"/>
      <c r="G49" s="583"/>
      <c r="H49" s="584"/>
      <c r="I49" s="338"/>
      <c r="J49" s="338"/>
      <c r="K49" s="129"/>
    </row>
    <row r="50" spans="1:11">
      <c r="A50" s="142">
        <f t="shared" ref="A50:A66" si="5">A49+1</f>
        <v>38</v>
      </c>
      <c r="B50" s="159" t="s">
        <v>137</v>
      </c>
      <c r="C50" s="469"/>
      <c r="D50" s="386"/>
      <c r="F50" s="464"/>
      <c r="G50" s="583"/>
      <c r="H50" s="584"/>
      <c r="I50" s="585"/>
      <c r="J50" s="338"/>
      <c r="K50" s="129"/>
    </row>
    <row r="51" spans="1:11">
      <c r="A51" s="142">
        <f t="shared" si="5"/>
        <v>39</v>
      </c>
      <c r="B51" s="112" t="s">
        <v>136</v>
      </c>
      <c r="C51" s="469"/>
      <c r="D51" s="386"/>
      <c r="F51" s="464"/>
      <c r="G51" s="583"/>
      <c r="H51" s="584"/>
      <c r="I51" s="585"/>
      <c r="J51" s="338"/>
      <c r="K51" s="129"/>
    </row>
    <row r="52" spans="1:11">
      <c r="A52" s="142">
        <f t="shared" si="5"/>
        <v>40</v>
      </c>
      <c r="B52" s="112" t="s">
        <v>178</v>
      </c>
      <c r="C52" s="469"/>
      <c r="D52" s="386"/>
      <c r="F52" s="464"/>
      <c r="G52" s="583"/>
      <c r="H52" s="584"/>
      <c r="I52" s="338"/>
      <c r="J52" s="338"/>
      <c r="K52" s="129"/>
    </row>
    <row r="53" spans="1:11" ht="13.5" thickBot="1">
      <c r="A53" s="142">
        <f t="shared" si="5"/>
        <v>41</v>
      </c>
      <c r="B53" s="56" t="s">
        <v>167</v>
      </c>
      <c r="C53" s="466">
        <f>'Marg Cust Cost by Rate Schedule'!M72</f>
        <v>981.84744529783723</v>
      </c>
      <c r="D53" s="387">
        <f t="shared" si="4"/>
        <v>81.82062044148644</v>
      </c>
      <c r="F53" s="464"/>
      <c r="G53" s="583"/>
      <c r="H53" s="584"/>
      <c r="I53" s="338"/>
      <c r="J53" s="338"/>
      <c r="K53" s="129"/>
    </row>
    <row r="54" spans="1:11" ht="13.5" thickBot="1">
      <c r="A54" s="142">
        <f t="shared" si="5"/>
        <v>42</v>
      </c>
      <c r="C54" s="464"/>
      <c r="D54" s="27"/>
      <c r="F54" s="521"/>
      <c r="G54" s="586"/>
      <c r="H54" s="584"/>
      <c r="I54" s="338"/>
      <c r="J54" s="338"/>
      <c r="K54" s="129"/>
    </row>
    <row r="55" spans="1:11" ht="13.5" thickBot="1">
      <c r="A55" s="142">
        <f t="shared" si="5"/>
        <v>43</v>
      </c>
      <c r="B55" s="97" t="s">
        <v>342</v>
      </c>
      <c r="C55" s="463">
        <f>'Marg Cust Cost by Rate Schedule'!M78</f>
        <v>7.6885790392590145</v>
      </c>
      <c r="D55" s="384">
        <f t="shared" si="4"/>
        <v>0.64071491993825125</v>
      </c>
      <c r="F55" s="464"/>
      <c r="G55" s="583"/>
      <c r="H55" s="584"/>
      <c r="I55" s="338"/>
      <c r="J55" s="338"/>
      <c r="K55" s="129"/>
    </row>
    <row r="56" spans="1:11" ht="13.5" thickBot="1">
      <c r="A56" s="142">
        <f t="shared" si="5"/>
        <v>44</v>
      </c>
      <c r="B56" s="27"/>
      <c r="C56" s="27"/>
      <c r="D56" s="27"/>
      <c r="H56" s="584"/>
    </row>
    <row r="57" spans="1:11">
      <c r="A57" s="142">
        <f t="shared" si="5"/>
        <v>45</v>
      </c>
      <c r="B57" s="707" t="s">
        <v>385</v>
      </c>
      <c r="C57" s="708"/>
      <c r="D57" s="709"/>
      <c r="H57" s="584"/>
    </row>
    <row r="58" spans="1:11">
      <c r="A58" s="142">
        <f t="shared" si="5"/>
        <v>46</v>
      </c>
      <c r="B58" s="86" t="s">
        <v>134</v>
      </c>
      <c r="C58" s="383"/>
      <c r="D58" s="81"/>
      <c r="H58" s="584"/>
    </row>
    <row r="59" spans="1:11">
      <c r="A59" s="142">
        <f t="shared" si="5"/>
        <v>47</v>
      </c>
      <c r="B59" s="159" t="s">
        <v>137</v>
      </c>
      <c r="C59" s="469">
        <f>'Marg Cust Cost by Rate Schedule'!M84</f>
        <v>432.96584726733329</v>
      </c>
      <c r="D59" s="386">
        <f t="shared" ref="D59:D61" si="6">C59/12</f>
        <v>36.080487272277772</v>
      </c>
      <c r="G59" s="158"/>
      <c r="H59" s="584"/>
    </row>
    <row r="60" spans="1:11">
      <c r="A60" s="142">
        <f t="shared" si="5"/>
        <v>48</v>
      </c>
      <c r="B60" s="112" t="s">
        <v>136</v>
      </c>
      <c r="C60" s="469">
        <f>'Marg Cust Cost by Rate Schedule'!M85</f>
        <v>2092.9868988271892</v>
      </c>
      <c r="D60" s="386">
        <f t="shared" si="6"/>
        <v>174.41557490226577</v>
      </c>
      <c r="G60" s="158"/>
      <c r="H60" s="584"/>
    </row>
    <row r="61" spans="1:11">
      <c r="A61" s="142">
        <f t="shared" si="5"/>
        <v>49</v>
      </c>
      <c r="B61" s="112" t="s">
        <v>177</v>
      </c>
      <c r="C61" s="469">
        <f>'Marg Cust Cost by Rate Schedule'!M86</f>
        <v>1403.1772518398886</v>
      </c>
      <c r="D61" s="386">
        <f t="shared" si="6"/>
        <v>116.93143765332405</v>
      </c>
      <c r="G61" s="158"/>
      <c r="H61" s="584"/>
    </row>
    <row r="62" spans="1:11">
      <c r="A62" s="142">
        <f t="shared" si="5"/>
        <v>50</v>
      </c>
      <c r="B62" s="86" t="s">
        <v>135</v>
      </c>
      <c r="C62" s="469"/>
      <c r="D62" s="386"/>
      <c r="G62" s="158"/>
      <c r="H62" s="584"/>
    </row>
    <row r="63" spans="1:11">
      <c r="A63" s="142">
        <f t="shared" si="5"/>
        <v>51</v>
      </c>
      <c r="B63" s="159" t="s">
        <v>137</v>
      </c>
      <c r="C63" s="469"/>
      <c r="D63" s="386"/>
      <c r="G63" s="158"/>
      <c r="H63" s="584"/>
    </row>
    <row r="64" spans="1:11">
      <c r="A64" s="142">
        <f t="shared" si="5"/>
        <v>52</v>
      </c>
      <c r="B64" s="112" t="s">
        <v>136</v>
      </c>
      <c r="C64" s="469"/>
      <c r="D64" s="386"/>
      <c r="G64" s="158"/>
      <c r="H64" s="584"/>
    </row>
    <row r="65" spans="1:8">
      <c r="A65" s="142">
        <f t="shared" si="5"/>
        <v>53</v>
      </c>
      <c r="B65" s="112" t="s">
        <v>178</v>
      </c>
      <c r="C65" s="469">
        <f>'Marg Cust Cost by Rate Schedule'!M89</f>
        <v>895.81678255092538</v>
      </c>
      <c r="D65" s="386">
        <f t="shared" ref="D65:D66" si="7">C65/12</f>
        <v>74.651398545910453</v>
      </c>
      <c r="G65" s="158"/>
      <c r="H65" s="584"/>
    </row>
    <row r="66" spans="1:8" ht="13.5" thickBot="1">
      <c r="A66" s="142">
        <f t="shared" si="5"/>
        <v>54</v>
      </c>
      <c r="B66" s="56" t="s">
        <v>386</v>
      </c>
      <c r="C66" s="466">
        <f>'Marg Cust Cost by Rate Schedule'!M95</f>
        <v>1384.6535713398584</v>
      </c>
      <c r="D66" s="387">
        <f t="shared" si="7"/>
        <v>115.38779761165488</v>
      </c>
      <c r="F66" s="710"/>
      <c r="G66" s="158"/>
      <c r="H66" s="584"/>
    </row>
  </sheetData>
  <mergeCells count="5">
    <mergeCell ref="C7:D7"/>
    <mergeCell ref="A1:D1"/>
    <mergeCell ref="A2:D2"/>
    <mergeCell ref="A5:D5"/>
    <mergeCell ref="A3:D3"/>
  </mergeCells>
  <phoneticPr fontId="7" type="noConversion"/>
  <printOptions horizontalCentered="1"/>
  <pageMargins left="0.75" right="0.75" top="1" bottom="1" header="0.5" footer="0.5"/>
  <pageSetup scale="87" orientation="portrait" r:id="rId1"/>
  <headerFooter alignWithMargins="0">
    <oddFooter>&amp;L&amp;F
&amp;A&amp;R&amp;P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9">
    <tabColor rgb="FF00642D"/>
    <pageSetUpPr fitToPage="1"/>
  </sheetPr>
  <dimension ref="A1:W65"/>
  <sheetViews>
    <sheetView zoomScaleNormal="10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A2" sqref="A2"/>
    </sheetView>
  </sheetViews>
  <sheetFormatPr defaultRowHeight="12.5"/>
  <cols>
    <col min="1" max="1" width="31.26953125" bestFit="1" customWidth="1"/>
    <col min="2" max="2" width="12.81640625" customWidth="1"/>
    <col min="3" max="3" width="11.54296875" customWidth="1"/>
    <col min="4" max="4" width="11.26953125" bestFit="1" customWidth="1"/>
    <col min="5" max="5" width="10.7265625" customWidth="1"/>
    <col min="6" max="6" width="12.81640625" customWidth="1"/>
    <col min="7" max="8" width="8.7265625" bestFit="1" customWidth="1"/>
    <col min="9" max="9" width="10.26953125" bestFit="1" customWidth="1"/>
    <col min="10" max="10" width="12.81640625" bestFit="1" customWidth="1"/>
    <col min="11" max="13" width="10.26953125" customWidth="1"/>
    <col min="14" max="14" width="12.81640625" bestFit="1" customWidth="1"/>
    <col min="15" max="16" width="11.26953125" bestFit="1" customWidth="1"/>
    <col min="17" max="17" width="10.26953125" customWidth="1"/>
    <col min="18" max="18" width="12.81640625" bestFit="1" customWidth="1"/>
    <col min="19" max="19" width="9.1796875" bestFit="1" customWidth="1"/>
    <col min="20" max="20" width="10.26953125" bestFit="1" customWidth="1"/>
    <col min="21" max="21" width="10.1796875" bestFit="1" customWidth="1"/>
  </cols>
  <sheetData>
    <row r="1" spans="1:21" ht="18.5" thickBot="1">
      <c r="A1" s="750" t="s">
        <v>440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</row>
    <row r="2" spans="1:21" ht="13.5" thickBot="1">
      <c r="A2" s="103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</row>
    <row r="3" spans="1:21" ht="13">
      <c r="A3" s="160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1" t="s">
        <v>96</v>
      </c>
      <c r="K3" s="752"/>
      <c r="L3" s="752"/>
      <c r="M3" s="753"/>
      <c r="N3" s="751" t="s">
        <v>94</v>
      </c>
      <c r="O3" s="752"/>
      <c r="P3" s="752"/>
      <c r="Q3" s="752"/>
      <c r="R3" s="745" t="s">
        <v>441</v>
      </c>
      <c r="S3" s="752"/>
      <c r="T3" s="752"/>
      <c r="U3" s="753"/>
    </row>
    <row r="4" spans="1:21" ht="13.5" thickBot="1">
      <c r="A4" s="77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2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40</v>
      </c>
      <c r="Q4" s="233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</row>
    <row r="5" spans="1:21" ht="13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76"/>
    </row>
    <row r="6" spans="1:21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8"/>
      <c r="O6" s="8"/>
      <c r="P6" s="8"/>
      <c r="Q6" s="8"/>
      <c r="R6" s="11"/>
      <c r="S6" s="12"/>
      <c r="T6" s="12"/>
      <c r="U6" s="76"/>
    </row>
    <row r="7" spans="1:21" ht="13">
      <c r="A7" s="124" t="s">
        <v>5</v>
      </c>
      <c r="B7" s="109">
        <f>'Sm Comm Cust Fcst'!$P8*'Non-Residential TSM UC Adj'!B7</f>
        <v>0</v>
      </c>
      <c r="C7" s="23">
        <f>'Sm Comm Cust Fcst'!$P8*'Non-Residential TSM UC Adj'!C7</f>
        <v>0</v>
      </c>
      <c r="D7" s="23">
        <f>'Sm Comm Cust Fcst'!$P8*'Non-Residential TSM UC Adj'!D7</f>
        <v>0</v>
      </c>
      <c r="E7" s="41">
        <f>IF(SUM(B7:D7)=0,0,SUM(B7:D7)/'Sm Comm Cust Fcst'!P8)</f>
        <v>0</v>
      </c>
      <c r="F7" s="109">
        <f>'Sm Comm Cust Fcst'!$Q8*'Non-Residential TSM UC Adj'!F7</f>
        <v>0</v>
      </c>
      <c r="G7" s="23">
        <f>'Sm Comm Cust Fcst'!$Q8*'Non-Residential TSM UC Adj'!G7</f>
        <v>0</v>
      </c>
      <c r="H7" s="23">
        <f>'Sm Comm Cust Fcst'!$Q8*'Non-Residential TSM UC Adj'!H7</f>
        <v>0</v>
      </c>
      <c r="I7" s="41">
        <f>IF(SUM(F7:H7)=0,0,SUM(F7:H7)/'Sm Comm Cust Fcst'!Q8)</f>
        <v>0</v>
      </c>
      <c r="J7" s="109">
        <f>'Sm Comm Cust Fcst'!$R8*'Non-Residential TSM UC Adj'!J7</f>
        <v>0</v>
      </c>
      <c r="K7" s="23">
        <f>'Sm Comm Cust Fcst'!$R8*'Non-Residential TSM UC Adj'!K7</f>
        <v>0</v>
      </c>
      <c r="L7" s="23">
        <f>'Sm Comm Cust Fcst'!$R8*'Non-Residential TSM UC Adj'!L7</f>
        <v>0</v>
      </c>
      <c r="M7" s="41">
        <f>IF(SUM(J7:L7)=0,0,SUM(J7:L7)/'Sm Comm Cust Fcst'!R8)</f>
        <v>0</v>
      </c>
      <c r="N7" s="109">
        <f>'Sm Comm Cust Fcst'!$S8*'Non-Residential TSM UC Adj'!N7</f>
        <v>0</v>
      </c>
      <c r="O7" s="23">
        <f>'Sm Comm Cust Fcst'!$S8*'Non-Residential TSM UC Adj'!O7</f>
        <v>0</v>
      </c>
      <c r="P7" s="23">
        <f>'Sm Comm Cust Fcst'!$S8*'Non-Residential TSM UC Adj'!P7</f>
        <v>0</v>
      </c>
      <c r="Q7" s="23">
        <f>IF(SUM(N7:P7)=0,0,SUM(N7:P7)/'Sm Comm Cust Fcst'!S8)</f>
        <v>0</v>
      </c>
      <c r="R7" s="109">
        <f>B7+F7+J7+N7</f>
        <v>0</v>
      </c>
      <c r="S7" s="23">
        <f t="shared" ref="S7:T23" si="0">C7+G7+K7+O7</f>
        <v>0</v>
      </c>
      <c r="T7" s="23">
        <f t="shared" si="0"/>
        <v>0</v>
      </c>
      <c r="U7" s="41">
        <f>IF(SUM(R7:T7)=0,0,SUM(R7:T7)/'Sm Comm Cust Fcst'!T8)</f>
        <v>0</v>
      </c>
    </row>
    <row r="8" spans="1:21" ht="13">
      <c r="A8" s="126" t="s">
        <v>193</v>
      </c>
      <c r="B8" s="109">
        <f>'Sm Comm Cust Fcst'!$P9*'Non-Residential TSM UC Adj'!B8</f>
        <v>0</v>
      </c>
      <c r="C8" s="23">
        <f>'Sm Comm Cust Fcst'!$P9*'Non-Residential TSM UC Adj'!C8</f>
        <v>0</v>
      </c>
      <c r="D8" s="23">
        <f>'Sm Comm Cust Fcst'!$P9*'Non-Residential TSM UC Adj'!D8</f>
        <v>0</v>
      </c>
      <c r="E8" s="41">
        <f>IF(SUM(B8:D8)=0,0,SUM(B8:D8)/'Sm Comm Cust Fcst'!P9)</f>
        <v>0</v>
      </c>
      <c r="F8" s="109">
        <f>'Sm Comm Cust Fcst'!$Q9*'Non-Residential TSM UC Adj'!F8</f>
        <v>0</v>
      </c>
      <c r="G8" s="23">
        <f>'Sm Comm Cust Fcst'!$Q9*'Non-Residential TSM UC Adj'!G8</f>
        <v>0</v>
      </c>
      <c r="H8" s="23">
        <f>'Sm Comm Cust Fcst'!$Q9*'Non-Residential TSM UC Adj'!H8</f>
        <v>0</v>
      </c>
      <c r="I8" s="41">
        <f>IF(SUM(F8:H8)=0,0,SUM(F8:H8)/'Sm Comm Cust Fcst'!Q9)</f>
        <v>0</v>
      </c>
      <c r="J8" s="109">
        <f>'Sm Comm Cust Fcst'!$R9*'Non-Residential TSM UC Adj'!J8</f>
        <v>0</v>
      </c>
      <c r="K8" s="23">
        <f>'Sm Comm Cust Fcst'!$R9*'Non-Residential TSM UC Adj'!K8</f>
        <v>0</v>
      </c>
      <c r="L8" s="23">
        <f>'Sm Comm Cust Fcst'!$R9*'Non-Residential TSM UC Adj'!L8</f>
        <v>0</v>
      </c>
      <c r="M8" s="41">
        <f>IF(SUM(J8:L8)=0,0,SUM(J8:L8)/'Sm Comm Cust Fcst'!R9)</f>
        <v>0</v>
      </c>
      <c r="N8" s="109">
        <f>'Sm Comm Cust Fcst'!$S9*'Non-Residential TSM UC Adj'!N8</f>
        <v>0</v>
      </c>
      <c r="O8" s="23">
        <f>'Sm Comm Cust Fcst'!$S9*'Non-Residential TSM UC Adj'!O8</f>
        <v>0</v>
      </c>
      <c r="P8" s="23">
        <f>'Sm Comm Cust Fcst'!$S9*'Non-Residential TSM UC Adj'!P8</f>
        <v>0</v>
      </c>
      <c r="Q8" s="41">
        <f>IF(SUM(N8:P8)=0,0,SUM(N8:P8)/'Sm Comm Cust Fcst'!S9)</f>
        <v>0</v>
      </c>
      <c r="R8" s="109">
        <f>B8+F8+J8+N8</f>
        <v>0</v>
      </c>
      <c r="S8" s="23">
        <f>C8+G8+K8+O8</f>
        <v>0</v>
      </c>
      <c r="T8" s="23">
        <f>D8+H8+L8+P8</f>
        <v>0</v>
      </c>
      <c r="U8" s="41">
        <f>IF(SUM(R8:T8)=0,0,SUM(R8:T8)/'Sm Comm Cust Fcst'!T9)</f>
        <v>0</v>
      </c>
    </row>
    <row r="9" spans="1:21" ht="13">
      <c r="A9" s="125" t="s">
        <v>194</v>
      </c>
      <c r="B9" s="109">
        <f>'Sm Comm Cust Fcst'!$P10*'Non-Residential TSM UC Adj'!B8</f>
        <v>0</v>
      </c>
      <c r="C9" s="23">
        <f>'Sm Comm Cust Fcst'!$P10*'Non-Residential TSM UC Adj'!C8</f>
        <v>0</v>
      </c>
      <c r="D9" s="23">
        <f>'Sm Comm Cust Fcst'!$P10*'Non-Residential TSM UC Adj'!D8</f>
        <v>0</v>
      </c>
      <c r="E9" s="41">
        <f>IF(SUM(B9:D9)=0,0,SUM(B9:D9)/'Sm Comm Cust Fcst'!P10)</f>
        <v>0</v>
      </c>
      <c r="F9" s="109">
        <f>'Sm Comm Cust Fcst'!$Q10*'Non-Residential TSM UC Adj'!F8</f>
        <v>0</v>
      </c>
      <c r="G9" s="23">
        <f>'Sm Comm Cust Fcst'!$Q10*'Non-Residential TSM UC Adj'!G8</f>
        <v>0</v>
      </c>
      <c r="H9" s="23">
        <f>'Sm Comm Cust Fcst'!$Q10*'Non-Residential TSM UC Adj'!H8</f>
        <v>0</v>
      </c>
      <c r="I9" s="41">
        <f>IF(SUM(F9:H9)=0,0,SUM(F9:H9)/'Sm Comm Cust Fcst'!Q10)</f>
        <v>0</v>
      </c>
      <c r="J9" s="109">
        <f>'Sm Comm Cust Fcst'!$R10*'Non-Residential TSM UC Adj'!J8</f>
        <v>0</v>
      </c>
      <c r="K9" s="23">
        <f>'Sm Comm Cust Fcst'!$R10*'Non-Residential TSM UC Adj'!K8</f>
        <v>0</v>
      </c>
      <c r="L9" s="23">
        <f>'Sm Comm Cust Fcst'!$R10*'Non-Residential TSM UC Adj'!L8</f>
        <v>0</v>
      </c>
      <c r="M9" s="41">
        <f>IF(SUM(J9:L9)=0,0,SUM(J9:L9)/'Sm Comm Cust Fcst'!R10)</f>
        <v>0</v>
      </c>
      <c r="N9" s="109">
        <f>'Sm Comm Cust Fcst'!$S10*'Non-Residential TSM UC Adj'!N8</f>
        <v>0</v>
      </c>
      <c r="O9" s="23">
        <f>'Sm Comm Cust Fcst'!$S10*'Non-Residential TSM UC Adj'!O8</f>
        <v>0</v>
      </c>
      <c r="P9" s="23">
        <f>'Sm Comm Cust Fcst'!$S10*'Non-Residential TSM UC Adj'!P8</f>
        <v>0</v>
      </c>
      <c r="Q9" s="23">
        <f>IF(SUM(N9:P9)=0,0,SUM(N9:P9)/'Sm Comm Cust Fcst'!S10)</f>
        <v>0</v>
      </c>
      <c r="R9" s="109">
        <f t="shared" ref="R9:T38" si="1">B9+F9+J9+N9</f>
        <v>0</v>
      </c>
      <c r="S9" s="23">
        <f t="shared" si="0"/>
        <v>0</v>
      </c>
      <c r="T9" s="23">
        <f t="shared" si="0"/>
        <v>0</v>
      </c>
      <c r="U9" s="41">
        <f>IF(SUM(R9:T9)=0,0,SUM(R9:T9)/'Sm Comm Cust Fcst'!T10)</f>
        <v>0</v>
      </c>
    </row>
    <row r="10" spans="1:21" ht="13">
      <c r="A10" s="126" t="s">
        <v>7</v>
      </c>
      <c r="B10" s="109">
        <f>'Sm Comm Cust Fcst'!$P11*'Non-Residential TSM UC Adj'!B9</f>
        <v>0</v>
      </c>
      <c r="C10" s="23">
        <f>'Sm Comm Cust Fcst'!$P11*'Non-Residential TSM UC Adj'!C9</f>
        <v>0</v>
      </c>
      <c r="D10" s="23">
        <f>'Sm Comm Cust Fcst'!$P11*'Non-Residential TSM UC Adj'!D9</f>
        <v>0</v>
      </c>
      <c r="E10" s="41">
        <f>IF(SUM(B10:D10)=0,0,SUM(B10:D10)/'Sm Comm Cust Fcst'!P11)</f>
        <v>0</v>
      </c>
      <c r="F10" s="109">
        <f>'Sm Comm Cust Fcst'!$Q11*'Non-Residential TSM UC Adj'!F9</f>
        <v>0</v>
      </c>
      <c r="G10" s="23">
        <f>'Sm Comm Cust Fcst'!$Q11*'Non-Residential TSM UC Adj'!G9</f>
        <v>0</v>
      </c>
      <c r="H10" s="23">
        <f>'Sm Comm Cust Fcst'!$Q11*'Non-Residential TSM UC Adj'!H9</f>
        <v>0</v>
      </c>
      <c r="I10" s="41">
        <f>IF(SUM(F10:H10)=0,0,SUM(F10:H10)/'Sm Comm Cust Fcst'!Q11)</f>
        <v>0</v>
      </c>
      <c r="J10" s="109">
        <f>'Sm Comm Cust Fcst'!$R11*'Non-Residential TSM UC Adj'!J9</f>
        <v>0</v>
      </c>
      <c r="K10" s="23">
        <f>'Sm Comm Cust Fcst'!$R11*'Non-Residential TSM UC Adj'!K9</f>
        <v>0</v>
      </c>
      <c r="L10" s="23">
        <f>'Sm Comm Cust Fcst'!$R11*'Non-Residential TSM UC Adj'!L9</f>
        <v>0</v>
      </c>
      <c r="M10" s="41">
        <f>IF(SUM(J10:L10)=0,0,SUM(J10:L10)/'Sm Comm Cust Fcst'!R11)</f>
        <v>0</v>
      </c>
      <c r="N10" s="109">
        <f>'Sm Comm Cust Fcst'!$S11*'Non-Residential TSM UC Adj'!N9</f>
        <v>0</v>
      </c>
      <c r="O10" s="23">
        <f>'Sm Comm Cust Fcst'!$S11*'Non-Residential TSM UC Adj'!O9</f>
        <v>0</v>
      </c>
      <c r="P10" s="23">
        <f>'Sm Comm Cust Fcst'!$S11*'Non-Residential TSM UC Adj'!P9</f>
        <v>0</v>
      </c>
      <c r="Q10" s="23">
        <f>IF(SUM(N10:P10)=0,0,SUM(N10:P10)/'Sm Comm Cust Fcst'!S11)</f>
        <v>0</v>
      </c>
      <c r="R10" s="109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IF(SUM(R10:T10)=0,0,SUM(R10:T10)/'Sm Comm Cust Fcst'!T11)</f>
        <v>0</v>
      </c>
    </row>
    <row r="11" spans="1:21" ht="13">
      <c r="A11" s="126" t="s">
        <v>105</v>
      </c>
      <c r="B11" s="109">
        <f>'Sm Comm Cust Fcst'!$P12*'Non-Residential TSM UC Adj'!B10</f>
        <v>0</v>
      </c>
      <c r="C11" s="23">
        <f>'Sm Comm Cust Fcst'!$P12*'Non-Residential TSM UC Adj'!C10</f>
        <v>0</v>
      </c>
      <c r="D11" s="23">
        <f>'Sm Comm Cust Fcst'!$P12*'Non-Residential TSM UC Adj'!D10</f>
        <v>0</v>
      </c>
      <c r="E11" s="41">
        <f>IF(SUM(B11:D11)=0,0,SUM(B11:D11)/'Sm Comm Cust Fcst'!P12)</f>
        <v>0</v>
      </c>
      <c r="F11" s="109">
        <f>'Sm Comm Cust Fcst'!$Q12*'Non-Residential TSM UC Adj'!F10</f>
        <v>0</v>
      </c>
      <c r="G11" s="23">
        <f>'Sm Comm Cust Fcst'!$Q12*'Non-Residential TSM UC Adj'!G10</f>
        <v>0</v>
      </c>
      <c r="H11" s="23">
        <f>'Sm Comm Cust Fcst'!$Q12*'Non-Residential TSM UC Adj'!H10</f>
        <v>0</v>
      </c>
      <c r="I11" s="41">
        <f>IF(SUM(F11:H11)=0,0,SUM(F11:H11)/'Sm Comm Cust Fcst'!Q12)</f>
        <v>0</v>
      </c>
      <c r="J11" s="109">
        <f>'Sm Comm Cust Fcst'!$R12*'Non-Residential TSM UC Adj'!J10</f>
        <v>0</v>
      </c>
      <c r="K11" s="23">
        <f>'Sm Comm Cust Fcst'!$R12*'Non-Residential TSM UC Adj'!K10</f>
        <v>0</v>
      </c>
      <c r="L11" s="23">
        <f>'Sm Comm Cust Fcst'!$R12*'Non-Residential TSM UC Adj'!L10</f>
        <v>0</v>
      </c>
      <c r="M11" s="41">
        <f>IF(SUM(J11:L11)=0,0,SUM(J11:L11)/'Sm Comm Cust Fcst'!R12)</f>
        <v>0</v>
      </c>
      <c r="N11" s="109">
        <f>'Sm Comm Cust Fcst'!$S12*'Non-Residential TSM UC Adj'!N10</f>
        <v>0</v>
      </c>
      <c r="O11" s="23">
        <f>'Sm Comm Cust Fcst'!$S12*'Non-Residential TSM UC Adj'!O10</f>
        <v>0</v>
      </c>
      <c r="P11" s="23">
        <f>'Sm Comm Cust Fcst'!$S12*'Non-Residential TSM UC Adj'!P10</f>
        <v>0</v>
      </c>
      <c r="Q11" s="23">
        <f>IF(SUM(N11:P11)=0,0,SUM(N11:P11)/'Sm Comm Cust Fcst'!S12)</f>
        <v>0</v>
      </c>
      <c r="R11" s="109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IF(SUM(R11:T11)=0,0,SUM(R11:T11)/'Sm Comm Cust Fcst'!T12)</f>
        <v>0</v>
      </c>
    </row>
    <row r="12" spans="1:21" ht="13">
      <c r="A12" s="126" t="s">
        <v>97</v>
      </c>
      <c r="B12" s="109">
        <f>'Sm Comm Cust Fcst'!$P13*'Non-Residential TSM UC Adj'!B11</f>
        <v>2182.7286417415198</v>
      </c>
      <c r="C12" s="23">
        <f>'Sm Comm Cust Fcst'!$P13*'Non-Residential TSM UC Adj'!C11</f>
        <v>172.82934577832256</v>
      </c>
      <c r="D12" s="23">
        <f>'Sm Comm Cust Fcst'!$P13*'Non-Residential TSM UC Adj'!D11</f>
        <v>234.29973156037588</v>
      </c>
      <c r="E12" s="41">
        <f>IF(SUM(B12:D12)=0,0,SUM(B12:D12)/'Sm Comm Cust Fcst'!P13)</f>
        <v>2589.857719080218</v>
      </c>
      <c r="F12" s="109">
        <f>'Sm Comm Cust Fcst'!$Q13*'Non-Residential TSM UC Adj'!F11</f>
        <v>0</v>
      </c>
      <c r="G12" s="23">
        <f>'Sm Comm Cust Fcst'!$Q13*'Non-Residential TSM UC Adj'!G11</f>
        <v>0</v>
      </c>
      <c r="H12" s="23">
        <f>'Sm Comm Cust Fcst'!$Q13*'Non-Residential TSM UC Adj'!H11</f>
        <v>0</v>
      </c>
      <c r="I12" s="41">
        <f>IF(SUM(F12:H12)=0,0,SUM(F12:H12)/'Sm Comm Cust Fcst'!Q13)</f>
        <v>0</v>
      </c>
      <c r="J12" s="109">
        <f>'Sm Comm Cust Fcst'!$R13*'Non-Residential TSM UC Adj'!J11</f>
        <v>0</v>
      </c>
      <c r="K12" s="23">
        <f>'Sm Comm Cust Fcst'!$R13*'Non-Residential TSM UC Adj'!K11</f>
        <v>0</v>
      </c>
      <c r="L12" s="23">
        <f>'Sm Comm Cust Fcst'!$R13*'Non-Residential TSM UC Adj'!L11</f>
        <v>0</v>
      </c>
      <c r="M12" s="41">
        <f>IF(SUM(J12:L12)=0,0,SUM(J12:L12)/'Sm Comm Cust Fcst'!R13)</f>
        <v>0</v>
      </c>
      <c r="N12" s="109">
        <f>'Sm Comm Cust Fcst'!$S13*'Non-Residential TSM UC Adj'!N11</f>
        <v>0</v>
      </c>
      <c r="O12" s="23">
        <f>'Sm Comm Cust Fcst'!$S13*'Non-Residential TSM UC Adj'!O11</f>
        <v>0</v>
      </c>
      <c r="P12" s="23">
        <f>'Sm Comm Cust Fcst'!$S13*'Non-Residential TSM UC Adj'!P11</f>
        <v>0</v>
      </c>
      <c r="Q12" s="23">
        <f>IF(SUM(N12:P12)=0,0,SUM(N12:P12)/'Sm Comm Cust Fcst'!S13)</f>
        <v>0</v>
      </c>
      <c r="R12" s="109">
        <f t="shared" si="1"/>
        <v>2182.7286417415198</v>
      </c>
      <c r="S12" s="23">
        <f t="shared" si="0"/>
        <v>172.82934577832256</v>
      </c>
      <c r="T12" s="23">
        <f t="shared" si="0"/>
        <v>234.29973156037588</v>
      </c>
      <c r="U12" s="41">
        <f>IF(SUM(R12:T12)=0,0,SUM(R12:T12)/'Sm Comm Cust Fcst'!T13)</f>
        <v>2589.857719080218</v>
      </c>
    </row>
    <row r="13" spans="1:21" ht="13">
      <c r="A13" s="126" t="s">
        <v>8</v>
      </c>
      <c r="B13" s="109">
        <f>'Sm Comm Cust Fcst'!$P14*'Non-Residential TSM UC Adj'!B12</f>
        <v>0</v>
      </c>
      <c r="C13" s="23">
        <f>'Sm Comm Cust Fcst'!$P14*'Non-Residential TSM UC Adj'!C12</f>
        <v>0</v>
      </c>
      <c r="D13" s="23">
        <f>'Sm Comm Cust Fcst'!$P14*'Non-Residential TSM UC Adj'!D12</f>
        <v>0</v>
      </c>
      <c r="E13" s="41">
        <f>IF(SUM(B13:D13)=0,0,SUM(B13:D13)/'Sm Comm Cust Fcst'!P14)</f>
        <v>0</v>
      </c>
      <c r="F13" s="109">
        <f>'Sm Comm Cust Fcst'!$Q14*'Non-Residential TSM UC Adj'!F12</f>
        <v>0</v>
      </c>
      <c r="G13" s="23">
        <f>'Sm Comm Cust Fcst'!$Q14*'Non-Residential TSM UC Adj'!G12</f>
        <v>0</v>
      </c>
      <c r="H13" s="23">
        <f>'Sm Comm Cust Fcst'!$Q14*'Non-Residential TSM UC Adj'!H12</f>
        <v>0</v>
      </c>
      <c r="I13" s="41">
        <f>IF(SUM(F13:H13)=0,0,SUM(F13:H13)/'Sm Comm Cust Fcst'!Q14)</f>
        <v>0</v>
      </c>
      <c r="J13" s="109">
        <f>'Sm Comm Cust Fcst'!$R14*'Non-Residential TSM UC Adj'!J12</f>
        <v>14844.294879568015</v>
      </c>
      <c r="K13" s="23">
        <f>'Sm Comm Cust Fcst'!$R14*'Non-Residential TSM UC Adj'!K12</f>
        <v>935.23510714228996</v>
      </c>
      <c r="L13" s="23">
        <f>'Sm Comm Cust Fcst'!$R14*'Non-Residential TSM UC Adj'!L12</f>
        <v>301.76349896014176</v>
      </c>
      <c r="M13" s="41">
        <f>IF(SUM(J13:L13)=0,0,SUM(J13:L13)/'Sm Comm Cust Fcst'!R14)</f>
        <v>16081.293485670447</v>
      </c>
      <c r="N13" s="109">
        <f>'Sm Comm Cust Fcst'!$S14*'Non-Residential TSM UC Adj'!N12</f>
        <v>0</v>
      </c>
      <c r="O13" s="23">
        <f>'Sm Comm Cust Fcst'!$S14*'Non-Residential TSM UC Adj'!O12</f>
        <v>0</v>
      </c>
      <c r="P13" s="23">
        <f>'Sm Comm Cust Fcst'!$S14*'Non-Residential TSM UC Adj'!P12</f>
        <v>0</v>
      </c>
      <c r="Q13" s="23">
        <f>IF(SUM(N13:P13)=0,0,SUM(N13:P13)/'Sm Comm Cust Fcst'!S14)</f>
        <v>0</v>
      </c>
      <c r="R13" s="109">
        <f t="shared" si="1"/>
        <v>14844.294879568015</v>
      </c>
      <c r="S13" s="23">
        <f t="shared" si="0"/>
        <v>935.23510714228996</v>
      </c>
      <c r="T13" s="23">
        <f t="shared" si="0"/>
        <v>301.76349896014176</v>
      </c>
      <c r="U13" s="41">
        <f>IF(SUM(R13:T13)=0,0,SUM(R13:T13)/'Sm Comm Cust Fcst'!T14)</f>
        <v>16081.293485670447</v>
      </c>
    </row>
    <row r="14" spans="1:21" ht="13">
      <c r="A14" s="126" t="s">
        <v>9</v>
      </c>
      <c r="B14" s="109">
        <f>'Sm Comm Cust Fcst'!$P15*'Non-Residential TSM UC Adj'!B13</f>
        <v>0</v>
      </c>
      <c r="C14" s="23">
        <f>'Sm Comm Cust Fcst'!$P15*'Non-Residential TSM UC Adj'!C13</f>
        <v>0</v>
      </c>
      <c r="D14" s="23">
        <f>'Sm Comm Cust Fcst'!$P15*'Non-Residential TSM UC Adj'!D13</f>
        <v>0</v>
      </c>
      <c r="E14" s="41">
        <f>IF(SUM(B14:D14)=0,0,SUM(B14:D14)/'Sm Comm Cust Fcst'!P15)</f>
        <v>0</v>
      </c>
      <c r="F14" s="109">
        <f>'Sm Comm Cust Fcst'!$Q15*'Non-Residential TSM UC Adj'!F13</f>
        <v>0</v>
      </c>
      <c r="G14" s="23">
        <f>'Sm Comm Cust Fcst'!$Q15*'Non-Residential TSM UC Adj'!G13</f>
        <v>0</v>
      </c>
      <c r="H14" s="23">
        <f>'Sm Comm Cust Fcst'!$Q15*'Non-Residential TSM UC Adj'!H13</f>
        <v>0</v>
      </c>
      <c r="I14" s="41">
        <f>IF(SUM(F14:H14)=0,0,SUM(F14:H14)/'Sm Comm Cust Fcst'!Q15)</f>
        <v>0</v>
      </c>
      <c r="J14" s="109">
        <f>'Sm Comm Cust Fcst'!$R15*'Non-Residential TSM UC Adj'!J13</f>
        <v>0</v>
      </c>
      <c r="K14" s="23">
        <f>'Sm Comm Cust Fcst'!$R15*'Non-Residential TSM UC Adj'!K13</f>
        <v>0</v>
      </c>
      <c r="L14" s="23">
        <f>'Sm Comm Cust Fcst'!$R15*'Non-Residential TSM UC Adj'!L13</f>
        <v>0</v>
      </c>
      <c r="M14" s="41">
        <f>IF(SUM(J14:L14)=0,0,SUM(J14:L14)/'Sm Comm Cust Fcst'!R15)</f>
        <v>0</v>
      </c>
      <c r="N14" s="109">
        <f>'Sm Comm Cust Fcst'!$S15*'Non-Residential TSM UC Adj'!N13</f>
        <v>0</v>
      </c>
      <c r="O14" s="23">
        <f>'Sm Comm Cust Fcst'!$S15*'Non-Residential TSM UC Adj'!O13</f>
        <v>0</v>
      </c>
      <c r="P14" s="23">
        <f>'Sm Comm Cust Fcst'!$S15*'Non-Residential TSM UC Adj'!P13</f>
        <v>0</v>
      </c>
      <c r="Q14" s="23">
        <f>IF(SUM(N14:P14)=0,0,SUM(N14:P14)/'Sm Comm Cust Fcst'!S15)</f>
        <v>0</v>
      </c>
      <c r="R14" s="109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IF(SUM(R14:T14)=0,0,SUM(R14:T14)/'Sm Comm Cust Fcst'!T15)</f>
        <v>0</v>
      </c>
    </row>
    <row r="15" spans="1:21" ht="13">
      <c r="A15" s="126" t="s">
        <v>10</v>
      </c>
      <c r="B15" s="109">
        <f>'Sm Comm Cust Fcst'!$P16*'Non-Residential TSM UC Adj'!B14</f>
        <v>0</v>
      </c>
      <c r="C15" s="23">
        <f>'Sm Comm Cust Fcst'!$P16*'Non-Residential TSM UC Adj'!C14</f>
        <v>0</v>
      </c>
      <c r="D15" s="23">
        <f>'Sm Comm Cust Fcst'!$P16*'Non-Residential TSM UC Adj'!D14</f>
        <v>0</v>
      </c>
      <c r="E15" s="41">
        <f>IF(SUM(B15:D15)=0,0,SUM(B15:D15)/'Sm Comm Cust Fcst'!P16)</f>
        <v>0</v>
      </c>
      <c r="F15" s="109">
        <f>'Sm Comm Cust Fcst'!$Q16*'Non-Residential TSM UC Adj'!F14</f>
        <v>0</v>
      </c>
      <c r="G15" s="23">
        <f>'Sm Comm Cust Fcst'!$Q16*'Non-Residential TSM UC Adj'!G14</f>
        <v>0</v>
      </c>
      <c r="H15" s="23">
        <f>'Sm Comm Cust Fcst'!$Q16*'Non-Residential TSM UC Adj'!H14</f>
        <v>0</v>
      </c>
      <c r="I15" s="41">
        <f>IF(SUM(F15:H15)=0,0,SUM(F15:H15)/'Sm Comm Cust Fcst'!Q16)</f>
        <v>0</v>
      </c>
      <c r="J15" s="109">
        <f>'Sm Comm Cust Fcst'!$R16*'Non-Residential TSM UC Adj'!J14</f>
        <v>0</v>
      </c>
      <c r="K15" s="23">
        <f>'Sm Comm Cust Fcst'!$R16*'Non-Residential TSM UC Adj'!K14</f>
        <v>0</v>
      </c>
      <c r="L15" s="23">
        <f>'Sm Comm Cust Fcst'!$R16*'Non-Residential TSM UC Adj'!L14</f>
        <v>0</v>
      </c>
      <c r="M15" s="41">
        <f>IF(SUM(J15:L15)=0,0,SUM(J15:L15)/'Sm Comm Cust Fcst'!R16)</f>
        <v>0</v>
      </c>
      <c r="N15" s="109">
        <f>'Sm Comm Cust Fcst'!$S16*'Non-Residential TSM UC Adj'!N14</f>
        <v>0</v>
      </c>
      <c r="O15" s="23">
        <f>'Sm Comm Cust Fcst'!$S16*'Non-Residential TSM UC Adj'!O14</f>
        <v>0</v>
      </c>
      <c r="P15" s="23">
        <f>'Sm Comm Cust Fcst'!$S16*'Non-Residential TSM UC Adj'!P14</f>
        <v>0</v>
      </c>
      <c r="Q15" s="23">
        <f>IF(SUM(N15:P15)=0,0,SUM(N15:P15)/'Sm Comm Cust Fcst'!S16)</f>
        <v>0</v>
      </c>
      <c r="R15" s="109">
        <f t="shared" si="1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Fcst'!T16)</f>
        <v>0</v>
      </c>
    </row>
    <row r="16" spans="1:21" ht="13">
      <c r="A16" s="126" t="s">
        <v>11</v>
      </c>
      <c r="B16" s="109">
        <f>'Sm Comm Cust Fcst'!$P17*'Non-Residential TSM UC Adj'!B15</f>
        <v>0</v>
      </c>
      <c r="C16" s="23">
        <f>'Sm Comm Cust Fcst'!$P17*'Non-Residential TSM UC Adj'!C15</f>
        <v>0</v>
      </c>
      <c r="D16" s="23">
        <f>'Sm Comm Cust Fcst'!$P17*'Non-Residential TSM UC Adj'!D15</f>
        <v>0</v>
      </c>
      <c r="E16" s="41">
        <f>IF(SUM(B16:D16)=0,0,SUM(B16:D16)/'Sm Comm Cust Fcst'!P17)</f>
        <v>0</v>
      </c>
      <c r="F16" s="109">
        <f>'Sm Comm Cust Fcst'!$Q17*'Non-Residential TSM UC Adj'!F15</f>
        <v>0</v>
      </c>
      <c r="G16" s="23">
        <f>'Sm Comm Cust Fcst'!$Q17*'Non-Residential TSM UC Adj'!G15</f>
        <v>0</v>
      </c>
      <c r="H16" s="23">
        <f>'Sm Comm Cust Fcst'!$Q17*'Non-Residential TSM UC Adj'!H15</f>
        <v>0</v>
      </c>
      <c r="I16" s="41">
        <f>IF(SUM(F16:H16)=0,0,SUM(F16:H16)/'Sm Comm Cust Fcst'!Q17)</f>
        <v>0</v>
      </c>
      <c r="J16" s="109">
        <f>'Sm Comm Cust Fcst'!$R17*'Non-Residential TSM UC Adj'!J15</f>
        <v>0</v>
      </c>
      <c r="K16" s="23">
        <f>'Sm Comm Cust Fcst'!$R17*'Non-Residential TSM UC Adj'!K15</f>
        <v>0</v>
      </c>
      <c r="L16" s="23">
        <f>'Sm Comm Cust Fcst'!$R17*'Non-Residential TSM UC Adj'!L15</f>
        <v>0</v>
      </c>
      <c r="M16" s="41">
        <f>IF(SUM(J16:L16)=0,0,SUM(J16:L16)/'Sm Comm Cust Fcst'!R17)</f>
        <v>0</v>
      </c>
      <c r="N16" s="109">
        <f>'Sm Comm Cust Fcst'!$S17*'Non-Residential TSM UC Adj'!N15</f>
        <v>0</v>
      </c>
      <c r="O16" s="23">
        <f>'Sm Comm Cust Fcst'!$S17*'Non-Residential TSM UC Adj'!O15</f>
        <v>0</v>
      </c>
      <c r="P16" s="23">
        <f>'Sm Comm Cust Fcst'!$S17*'Non-Residential TSM UC Adj'!P15</f>
        <v>0</v>
      </c>
      <c r="Q16" s="23">
        <f>IF(SUM(N16:P16)=0,0,SUM(N16:P16)/'Sm Comm Cust Fcst'!S17)</f>
        <v>0</v>
      </c>
      <c r="R16" s="109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IF(SUM(R16:T16)=0,0,SUM(R16:T16)/'Sm Comm Cust Fcst'!T17)</f>
        <v>0</v>
      </c>
    </row>
    <row r="17" spans="1:21" ht="13">
      <c r="A17" s="126" t="s">
        <v>101</v>
      </c>
      <c r="B17" s="109">
        <f>'Sm Comm Cust Fcst'!$P18*'Non-Residential TSM UC Adj'!B16</f>
        <v>0</v>
      </c>
      <c r="C17" s="23">
        <f>'Sm Comm Cust Fcst'!$P18*'Non-Residential TSM UC Adj'!C16</f>
        <v>0</v>
      </c>
      <c r="D17" s="23">
        <f>'Sm Comm Cust Fcst'!$P18*'Non-Residential TSM UC Adj'!D16</f>
        <v>0</v>
      </c>
      <c r="E17" s="41">
        <f>IF(SUM(B17:D17)=0,0,SUM(B17:D17)/'Sm Comm Cust Fcst'!P18)</f>
        <v>0</v>
      </c>
      <c r="F17" s="109">
        <f>'Sm Comm Cust Fcst'!$Q18*'Non-Residential TSM UC Adj'!F16</f>
        <v>0</v>
      </c>
      <c r="G17" s="23">
        <f>'Sm Comm Cust Fcst'!$Q18*'Non-Residential TSM UC Adj'!G16</f>
        <v>0</v>
      </c>
      <c r="H17" s="23">
        <f>'Sm Comm Cust Fcst'!$Q18*'Non-Residential TSM UC Adj'!H16</f>
        <v>0</v>
      </c>
      <c r="I17" s="41">
        <f>IF(SUM(F17:H17)=0,0,SUM(F17:H17)/'Sm Comm Cust Fcst'!Q18)</f>
        <v>0</v>
      </c>
      <c r="J17" s="109">
        <f>'Sm Comm Cust Fcst'!$R18*'Non-Residential TSM UC Adj'!J16</f>
        <v>0</v>
      </c>
      <c r="K17" s="23">
        <f>'Sm Comm Cust Fcst'!$R18*'Non-Residential TSM UC Adj'!K16</f>
        <v>0</v>
      </c>
      <c r="L17" s="23">
        <f>'Sm Comm Cust Fcst'!$R18*'Non-Residential TSM UC Adj'!L16</f>
        <v>0</v>
      </c>
      <c r="M17" s="41">
        <f>IF(SUM(J17:L17)=0,0,SUM(J17:L17)/'Sm Comm Cust Fcst'!R18)</f>
        <v>0</v>
      </c>
      <c r="N17" s="109">
        <f>'Sm Comm Cust Fcst'!$S18*'Non-Residential TSM UC Adj'!N16</f>
        <v>0</v>
      </c>
      <c r="O17" s="23">
        <f>'Sm Comm Cust Fcst'!$S18*'Non-Residential TSM UC Adj'!O16</f>
        <v>0</v>
      </c>
      <c r="P17" s="23">
        <f>'Sm Comm Cust Fcst'!$S18*'Non-Residential TSM UC Adj'!P16</f>
        <v>0</v>
      </c>
      <c r="Q17" s="23">
        <f>IF(SUM(N17:P17)=0,0,SUM(N17:P17)/'Sm Comm Cust Fcst'!S18)</f>
        <v>0</v>
      </c>
      <c r="R17" s="109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Fcst'!T18)</f>
        <v>0</v>
      </c>
    </row>
    <row r="18" spans="1:21" ht="13">
      <c r="A18" s="126" t="s">
        <v>102</v>
      </c>
      <c r="B18" s="109">
        <f>'Sm Comm Cust Fcst'!$P19*'Non-Residential TSM UC Adj'!J17</f>
        <v>0</v>
      </c>
      <c r="C18" s="23">
        <f>'Sm Comm Cust Fcst'!$P19*'Non-Residential TSM UC Adj'!K17</f>
        <v>0</v>
      </c>
      <c r="D18" s="23">
        <f>'Sm Comm Cust Fcst'!$P19*'Non-Residential TSM UC Adj'!L17</f>
        <v>0</v>
      </c>
      <c r="E18" s="41">
        <f>IF(SUM(B18:D18)=0,0,SUM(B18:D18)/'Sm Comm Cust Fcst'!P19)</f>
        <v>0</v>
      </c>
      <c r="F18" s="109">
        <f>'Sm Comm Cust Fcst'!$Q19*'Non-Residential TSM UC Adj'!F17</f>
        <v>0</v>
      </c>
      <c r="G18" s="23">
        <f>'Sm Comm Cust Fcst'!$Q19*'Non-Residential TSM UC Adj'!G17</f>
        <v>0</v>
      </c>
      <c r="H18" s="23">
        <f>'Sm Comm Cust Fcst'!$Q19*'Non-Residential TSM UC Adj'!H17</f>
        <v>0</v>
      </c>
      <c r="I18" s="41">
        <f>IF(SUM(F18:H18)=0,0,SUM(F18:H18)/'Sm Comm Cust Fcst'!Q19)</f>
        <v>0</v>
      </c>
      <c r="J18" s="109">
        <f>'Sm Comm Cust Fcst'!$R19*'Non-Residential TSM UC Adj'!J17</f>
        <v>0</v>
      </c>
      <c r="K18" s="23">
        <f>'Sm Comm Cust Fcst'!$R19*'Non-Residential TSM UC Adj'!K17</f>
        <v>0</v>
      </c>
      <c r="L18" s="23">
        <f>'Sm Comm Cust Fcst'!$R19*'Non-Residential TSM UC Adj'!L17</f>
        <v>0</v>
      </c>
      <c r="M18" s="41">
        <f>IF(SUM(J18:L18)=0,0,SUM(J18:L18)/'Sm Comm Cust Fcst'!R19)</f>
        <v>0</v>
      </c>
      <c r="N18" s="109">
        <f>'Sm Comm Cust Fcst'!$S19*'Non-Residential TSM UC Adj'!N17</f>
        <v>0</v>
      </c>
      <c r="O18" s="23">
        <f>'Sm Comm Cust Fcst'!$S19*'Non-Residential TSM UC Adj'!O17</f>
        <v>0</v>
      </c>
      <c r="P18" s="23">
        <f>'Sm Comm Cust Fcst'!$S19*'Non-Residential TSM UC Adj'!P17</f>
        <v>0</v>
      </c>
      <c r="Q18" s="23">
        <f>IF(SUM(N18:P18)=0,0,SUM(N18:P18)/'Sm Comm Cust Fcst'!S19)</f>
        <v>0</v>
      </c>
      <c r="R18" s="109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Fcst'!T19)</f>
        <v>0</v>
      </c>
    </row>
    <row r="19" spans="1:21" ht="13">
      <c r="A19" s="126" t="s">
        <v>12</v>
      </c>
      <c r="B19" s="109">
        <f>'Sm Comm Cust Fcst'!$P20*'Non-Residential TSM UC Adj'!J18</f>
        <v>0</v>
      </c>
      <c r="C19" s="23">
        <f>'Sm Comm Cust Fcst'!$P20*'Non-Residential TSM UC Adj'!K18</f>
        <v>0</v>
      </c>
      <c r="D19" s="23">
        <f>'Sm Comm Cust Fcst'!$P20*'Non-Residential TSM UC Adj'!L18</f>
        <v>0</v>
      </c>
      <c r="E19" s="41">
        <f>IF(SUM(B19:D19)=0,0,SUM(B19:D19)/'Sm Comm Cust Fcst'!P20)</f>
        <v>0</v>
      </c>
      <c r="F19" s="109">
        <f>'Sm Comm Cust Fcst'!$Q20*'Non-Residential TSM UC Adj'!J18</f>
        <v>0</v>
      </c>
      <c r="G19" s="23">
        <f>'Sm Comm Cust Fcst'!$Q20*'Non-Residential TSM UC Adj'!K18</f>
        <v>0</v>
      </c>
      <c r="H19" s="23">
        <f>'Sm Comm Cust Fcst'!$Q20*'Non-Residential TSM UC Adj'!L18</f>
        <v>0</v>
      </c>
      <c r="I19" s="41">
        <f>IF(SUM(F19:H19)=0,0,SUM(F19:H19)/'Sm Comm Cust Fcst'!Q20)</f>
        <v>0</v>
      </c>
      <c r="J19" s="109">
        <f>'Sm Comm Cust Fcst'!$R20*'Non-Residential TSM UC Adj'!J18</f>
        <v>0</v>
      </c>
      <c r="K19" s="23">
        <f>'Sm Comm Cust Fcst'!$R20*'Non-Residential TSM UC Adj'!K18</f>
        <v>0</v>
      </c>
      <c r="L19" s="23">
        <f>'Sm Comm Cust Fcst'!$R20*'Non-Residential TSM UC Adj'!L18</f>
        <v>0</v>
      </c>
      <c r="M19" s="41">
        <f>IF(SUM(J19:L19)=0,0,SUM(J19:L19)/'Sm Comm Cust Fcst'!R20)</f>
        <v>0</v>
      </c>
      <c r="N19" s="109">
        <f>'Sm Comm Cust Fcst'!$S20*'Non-Residential TSM UC Adj'!N18</f>
        <v>0</v>
      </c>
      <c r="O19" s="23">
        <f>'Sm Comm Cust Fcst'!$S20*'Non-Residential TSM UC Adj'!O18</f>
        <v>0</v>
      </c>
      <c r="P19" s="23">
        <f>'Sm Comm Cust Fcst'!$S20*'Non-Residential TSM UC Adj'!P18</f>
        <v>0</v>
      </c>
      <c r="Q19" s="23">
        <f>IF(SUM(N19:P19)=0,0,SUM(N19:P19)/'Sm Comm Cust Fcst'!S20)</f>
        <v>0</v>
      </c>
      <c r="R19" s="109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Fcst'!T20)</f>
        <v>0</v>
      </c>
    </row>
    <row r="20" spans="1:21" ht="13">
      <c r="A20" s="126" t="s">
        <v>13</v>
      </c>
      <c r="B20" s="109">
        <f>'Sm Comm Cust Fcst'!$P21*'Non-Residential TSM UC Adj'!J19</f>
        <v>0</v>
      </c>
      <c r="C20" s="23">
        <f>'Sm Comm Cust Fcst'!$P21*'Non-Residential TSM UC Adj'!K19</f>
        <v>0</v>
      </c>
      <c r="D20" s="23">
        <f>'Sm Comm Cust Fcst'!$P21*'Non-Residential TSM UC Adj'!L19</f>
        <v>0</v>
      </c>
      <c r="E20" s="41">
        <f>IF(SUM(B20:D20)=0,0,SUM(B20:D20)/'Sm Comm Cust Fcst'!P21)</f>
        <v>0</v>
      </c>
      <c r="F20" s="109">
        <f>'Sm Comm Cust Fcst'!$Q21*'Non-Residential TSM UC Adj'!J19</f>
        <v>0</v>
      </c>
      <c r="G20" s="23">
        <f>'Sm Comm Cust Fcst'!$Q21*'Non-Residential TSM UC Adj'!K19</f>
        <v>0</v>
      </c>
      <c r="H20" s="23">
        <f>'Sm Comm Cust Fcst'!$Q21*'Non-Residential TSM UC Adj'!L19</f>
        <v>0</v>
      </c>
      <c r="I20" s="41">
        <f>IF(SUM(F20:H20)=0,0,SUM(F20:H20)/'Sm Comm Cust Fcst'!Q21)</f>
        <v>0</v>
      </c>
      <c r="J20" s="109">
        <f>'Sm Comm Cust Fcst'!$R21*'Non-Residential TSM UC Adj'!J19</f>
        <v>0</v>
      </c>
      <c r="K20" s="23">
        <f>'Sm Comm Cust Fcst'!$R21*'Non-Residential TSM UC Adj'!K19</f>
        <v>0</v>
      </c>
      <c r="L20" s="23">
        <f>'Sm Comm Cust Fcst'!$R21*'Non-Residential TSM UC Adj'!L19</f>
        <v>0</v>
      </c>
      <c r="M20" s="41">
        <f>IF(SUM(J20:L20)=0,0,SUM(J20:L20)/'Sm Comm Cust Fcst'!R21)</f>
        <v>0</v>
      </c>
      <c r="N20" s="109">
        <f>'Sm Comm Cust Fcst'!$S21*'Non-Residential TSM UC Adj'!N19</f>
        <v>0</v>
      </c>
      <c r="O20" s="23">
        <f>'Sm Comm Cust Fcst'!$S21*'Non-Residential TSM UC Adj'!O19</f>
        <v>0</v>
      </c>
      <c r="P20" s="23">
        <f>'Sm Comm Cust Fcst'!$S21*'Non-Residential TSM UC Adj'!P19</f>
        <v>0</v>
      </c>
      <c r="Q20" s="23">
        <f>IF(SUM(N20:P20)=0,0,SUM(N20:P20)/'Sm Comm Cust Fcst'!S21)</f>
        <v>0</v>
      </c>
      <c r="R20" s="109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Fcst'!T21)</f>
        <v>0</v>
      </c>
    </row>
    <row r="21" spans="1:21" ht="13">
      <c r="A21" s="126" t="s">
        <v>103</v>
      </c>
      <c r="B21" s="109">
        <f>'Sm Comm Cust Fcst'!$P22*'Non-Residential TSM UC Adj'!J20</f>
        <v>0</v>
      </c>
      <c r="C21" s="23">
        <f>'Sm Comm Cust Fcst'!$P22*'Non-Residential TSM UC Adj'!K20</f>
        <v>0</v>
      </c>
      <c r="D21" s="23">
        <f>'Sm Comm Cust Fcst'!$P22*'Non-Residential TSM UC Adj'!L20</f>
        <v>0</v>
      </c>
      <c r="E21" s="41">
        <f>IF(SUM(B21:D21)=0,0,SUM(B21:D21)/'Sm Comm Cust Fcst'!P22)</f>
        <v>0</v>
      </c>
      <c r="F21" s="109">
        <f>'Sm Comm Cust Fcst'!$Q22*'Non-Residential TSM UC Adj'!J20</f>
        <v>0</v>
      </c>
      <c r="G21" s="23">
        <f>'Sm Comm Cust Fcst'!$Q22*'Non-Residential TSM UC Adj'!K20</f>
        <v>0</v>
      </c>
      <c r="H21" s="23">
        <f>'Sm Comm Cust Fcst'!$Q22*'Non-Residential TSM UC Adj'!L20</f>
        <v>0</v>
      </c>
      <c r="I21" s="41">
        <f>IF(SUM(F21:H21)=0,0,SUM(F21:H21)/'Sm Comm Cust Fcst'!Q22)</f>
        <v>0</v>
      </c>
      <c r="J21" s="109">
        <f>'Sm Comm Cust Fcst'!$R22*'Non-Residential TSM UC Adj'!J20</f>
        <v>0</v>
      </c>
      <c r="K21" s="23">
        <f>'Sm Comm Cust Fcst'!$R22*'Non-Residential TSM UC Adj'!K20</f>
        <v>0</v>
      </c>
      <c r="L21" s="23">
        <f>'Sm Comm Cust Fcst'!$R22*'Non-Residential TSM UC Adj'!L20</f>
        <v>0</v>
      </c>
      <c r="M21" s="41">
        <f>IF(SUM(J21:L21)=0,0,SUM(J21:L21)/'Sm Comm Cust Fcst'!R22)</f>
        <v>0</v>
      </c>
      <c r="N21" s="109">
        <f>'Sm Comm Cust Fcst'!$S22*'Non-Residential TSM UC Adj'!N20</f>
        <v>0</v>
      </c>
      <c r="O21" s="23">
        <f>'Sm Comm Cust Fcst'!$S22*'Non-Residential TSM UC Adj'!O20</f>
        <v>0</v>
      </c>
      <c r="P21" s="23">
        <f>'Sm Comm Cust Fcst'!$S22*'Non-Residential TSM UC Adj'!P20</f>
        <v>0</v>
      </c>
      <c r="Q21" s="23">
        <f>IF(SUM(N21:P21)=0,0,SUM(N21:P21)/'Sm Comm Cust Fcst'!S22)</f>
        <v>0</v>
      </c>
      <c r="R21" s="109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Fcst'!T22)</f>
        <v>0</v>
      </c>
    </row>
    <row r="22" spans="1:21" ht="13">
      <c r="A22" s="126" t="s">
        <v>104</v>
      </c>
      <c r="B22" s="109">
        <f>'Sm Comm Cust Fcst'!$P23*'Non-Residential TSM UC Adj'!J21</f>
        <v>0</v>
      </c>
      <c r="C22" s="23">
        <f>'Sm Comm Cust Fcst'!$P23*'Non-Residential TSM UC Adj'!K21</f>
        <v>0</v>
      </c>
      <c r="D22" s="23">
        <f>'Sm Comm Cust Fcst'!$P23*'Non-Residential TSM UC Adj'!L21</f>
        <v>0</v>
      </c>
      <c r="E22" s="41">
        <f>IF(SUM(B22:D22)=0,0,SUM(B22:D22)/'Sm Comm Cust Fcst'!P23)</f>
        <v>0</v>
      </c>
      <c r="F22" s="109">
        <f>'Sm Comm Cust Fcst'!$Q23*'Non-Residential TSM UC Adj'!J21</f>
        <v>0</v>
      </c>
      <c r="G22" s="23">
        <f>'Sm Comm Cust Fcst'!$Q23*'Non-Residential TSM UC Adj'!K21</f>
        <v>0</v>
      </c>
      <c r="H22" s="23">
        <f>'Sm Comm Cust Fcst'!$Q23*'Non-Residential TSM UC Adj'!L21</f>
        <v>0</v>
      </c>
      <c r="I22" s="41">
        <f>IF(SUM(F22:H22)=0,0,SUM(F22:H22)/'Sm Comm Cust Fcst'!Q23)</f>
        <v>0</v>
      </c>
      <c r="J22" s="109">
        <f>'Sm Comm Cust Fcst'!$R23*'Non-Residential TSM UC Adj'!J21</f>
        <v>0</v>
      </c>
      <c r="K22" s="23">
        <f>'Sm Comm Cust Fcst'!$R23*'Non-Residential TSM UC Adj'!K21</f>
        <v>0</v>
      </c>
      <c r="L22" s="23">
        <f>'Sm Comm Cust Fcst'!$R23*'Non-Residential TSM UC Adj'!L21</f>
        <v>0</v>
      </c>
      <c r="M22" s="41">
        <f>IF(SUM(J22:L22)=0,0,SUM(J22:L22)/'Sm Comm Cust Fcst'!R23)</f>
        <v>0</v>
      </c>
      <c r="N22" s="109">
        <f>'Sm Comm Cust Fcst'!$S23*'Non-Residential TSM UC Adj'!N21</f>
        <v>0</v>
      </c>
      <c r="O22" s="23">
        <f>'Sm Comm Cust Fcst'!$S23*'Non-Residential TSM UC Adj'!O21</f>
        <v>0</v>
      </c>
      <c r="P22" s="23">
        <f>'Sm Comm Cust Fcst'!$S23*'Non-Residential TSM UC Adj'!P21</f>
        <v>0</v>
      </c>
      <c r="Q22" s="23">
        <f>IF(SUM(N22:P22)=0,0,SUM(N22:P22)/'Sm Comm Cust Fcst'!S23)</f>
        <v>0</v>
      </c>
      <c r="R22" s="109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Fcst'!T23)</f>
        <v>0</v>
      </c>
    </row>
    <row r="23" spans="1:21" ht="13">
      <c r="A23" s="124" t="s">
        <v>14</v>
      </c>
      <c r="B23" s="109">
        <f>'Sm Comm Cust Fcst'!$P24*'Non-Residential TSM UC Adj'!J22</f>
        <v>0</v>
      </c>
      <c r="C23" s="23">
        <f>'Sm Comm Cust Fcst'!$P24*'Non-Residential TSM UC Adj'!K22</f>
        <v>0</v>
      </c>
      <c r="D23" s="23">
        <f>'Sm Comm Cust Fcst'!$P24*'Non-Residential TSM UC Adj'!L22</f>
        <v>0</v>
      </c>
      <c r="E23" s="41">
        <f>IF(SUM(B23:D23)=0,0,SUM(B23:D23)/'Sm Comm Cust Fcst'!P24)</f>
        <v>0</v>
      </c>
      <c r="F23" s="109">
        <f>'Sm Comm Cust Fcst'!$Q24*'Non-Residential TSM UC Adj'!J22</f>
        <v>0</v>
      </c>
      <c r="G23" s="23">
        <f>'Sm Comm Cust Fcst'!$Q24*'Non-Residential TSM UC Adj'!K22</f>
        <v>0</v>
      </c>
      <c r="H23" s="23">
        <f>'Sm Comm Cust Fcst'!$Q24*'Non-Residential TSM UC Adj'!L22</f>
        <v>0</v>
      </c>
      <c r="I23" s="41">
        <f>IF(SUM(F23:H23)=0,0,SUM(F23:H23)/'Sm Comm Cust Fcst'!Q24)</f>
        <v>0</v>
      </c>
      <c r="J23" s="109">
        <f>'Sm Comm Cust Fcst'!$R24*'Non-Residential TSM UC Adj'!J22</f>
        <v>0</v>
      </c>
      <c r="K23" s="23">
        <f>'Sm Comm Cust Fcst'!$R24*'Non-Residential TSM UC Adj'!K22</f>
        <v>0</v>
      </c>
      <c r="L23" s="23">
        <f>'Sm Comm Cust Fcst'!$R24*'Non-Residential TSM UC Adj'!L22</f>
        <v>0</v>
      </c>
      <c r="M23" s="41">
        <f>IF(SUM(J23:L23)=0,0,SUM(J23:L23)/'Sm Comm Cust Fcst'!R24)</f>
        <v>0</v>
      </c>
      <c r="N23" s="109">
        <f>'Sm Comm Cust Fcst'!$S24*'Non-Residential TSM UC Adj'!N22</f>
        <v>0</v>
      </c>
      <c r="O23" s="23">
        <f>'Sm Comm Cust Fcst'!$S24*'Non-Residential TSM UC Adj'!O22</f>
        <v>0</v>
      </c>
      <c r="P23" s="23">
        <f>'Sm Comm Cust Fcst'!$S24*'Non-Residential TSM UC Adj'!P22</f>
        <v>0</v>
      </c>
      <c r="Q23" s="23">
        <f>IF(SUM(N23:P23)=0,0,SUM(N23:P23)/'Sm Comm Cust Fcst'!S24)</f>
        <v>0</v>
      </c>
      <c r="R23" s="109">
        <f t="shared" si="1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Fcst'!T24)</f>
        <v>0</v>
      </c>
    </row>
    <row r="24" spans="1:21" ht="13">
      <c r="A24" s="126" t="s">
        <v>15</v>
      </c>
      <c r="B24" s="109">
        <f>'Sm Comm Cust Fcst'!$P25*'Non-Residential TSM UC Adj'!J23</f>
        <v>0</v>
      </c>
      <c r="C24" s="23">
        <f>'Sm Comm Cust Fcst'!$P25*'Non-Residential TSM UC Adj'!K23</f>
        <v>0</v>
      </c>
      <c r="D24" s="23">
        <f>'Sm Comm Cust Fcst'!$P25*'Non-Residential TSM UC Adj'!L23</f>
        <v>0</v>
      </c>
      <c r="E24" s="41">
        <f>IF(SUM(B24:D24)=0,0,SUM(B24:D24)/'Sm Comm Cust Fcst'!P25)</f>
        <v>0</v>
      </c>
      <c r="F24" s="109">
        <f>'Sm Comm Cust Fcst'!$Q25*'Non-Residential TSM UC Adj'!J23</f>
        <v>0</v>
      </c>
      <c r="G24" s="23">
        <f>'Sm Comm Cust Fcst'!$Q25*'Non-Residential TSM UC Adj'!K23</f>
        <v>0</v>
      </c>
      <c r="H24" s="23">
        <f>'Sm Comm Cust Fcst'!$Q25*'Non-Residential TSM UC Adj'!L23</f>
        <v>0</v>
      </c>
      <c r="I24" s="41">
        <f>IF(SUM(F24:H24)=0,0,SUM(F24:H24)/'Sm Comm Cust Fcst'!Q25)</f>
        <v>0</v>
      </c>
      <c r="J24" s="109">
        <f>'Sm Comm Cust Fcst'!$R25*'Non-Residential TSM UC Adj'!J23</f>
        <v>0</v>
      </c>
      <c r="K24" s="23">
        <f>'Sm Comm Cust Fcst'!$R25*'Non-Residential TSM UC Adj'!K23</f>
        <v>0</v>
      </c>
      <c r="L24" s="23">
        <f>'Sm Comm Cust Fcst'!$R25*'Non-Residential TSM UC Adj'!L23</f>
        <v>0</v>
      </c>
      <c r="M24" s="41">
        <f>IF(SUM(J24:L24)=0,0,SUM(J24:L24)/'Sm Comm Cust Fcst'!R25)</f>
        <v>0</v>
      </c>
      <c r="N24" s="109">
        <f>'Sm Comm Cust Fcst'!$S25*'Non-Residential TSM UC Adj'!N23</f>
        <v>0</v>
      </c>
      <c r="O24" s="23">
        <f>'Sm Comm Cust Fcst'!$S25*'Non-Residential TSM UC Adj'!O23</f>
        <v>0</v>
      </c>
      <c r="P24" s="23">
        <f>'Sm Comm Cust Fcst'!$S25*'Non-Residential TSM UC Adj'!P23</f>
        <v>0</v>
      </c>
      <c r="Q24" s="23">
        <f>IF(SUM(N24:P24)=0,0,SUM(N24:P24)/'Sm Comm Cust Fcst'!S25)</f>
        <v>0</v>
      </c>
      <c r="R24" s="109">
        <f t="shared" si="1"/>
        <v>0</v>
      </c>
      <c r="S24" s="23">
        <f t="shared" si="1"/>
        <v>0</v>
      </c>
      <c r="T24" s="23">
        <f t="shared" si="1"/>
        <v>0</v>
      </c>
      <c r="U24" s="41">
        <f>IF(SUM(R24:T24)=0,0,SUM(R24:T24)/'Sm Comm Cust Fcst'!T25)</f>
        <v>0</v>
      </c>
    </row>
    <row r="25" spans="1:21" ht="13">
      <c r="A25" s="126" t="s">
        <v>16</v>
      </c>
      <c r="B25" s="109">
        <f>'Sm Comm Cust Fcst'!$P26*'Non-Residential TSM UC Adj'!J24</f>
        <v>0</v>
      </c>
      <c r="C25" s="23">
        <f>'Sm Comm Cust Fcst'!$P26*'Non-Residential TSM UC Adj'!K24</f>
        <v>0</v>
      </c>
      <c r="D25" s="23">
        <f>'Sm Comm Cust Fcst'!$P26*'Non-Residential TSM UC Adj'!L24</f>
        <v>0</v>
      </c>
      <c r="E25" s="41">
        <f>IF(SUM(B25:D25)=0,0,SUM(B25:D25)/'Sm Comm Cust Fcst'!P26)</f>
        <v>0</v>
      </c>
      <c r="F25" s="109">
        <f>'Sm Comm Cust Fcst'!$Q26*'Non-Residential TSM UC Adj'!J24</f>
        <v>0</v>
      </c>
      <c r="G25" s="23">
        <f>'Sm Comm Cust Fcst'!$Q26*'Non-Residential TSM UC Adj'!K24</f>
        <v>0</v>
      </c>
      <c r="H25" s="23">
        <f>'Sm Comm Cust Fcst'!$Q26*'Non-Residential TSM UC Adj'!L24</f>
        <v>0</v>
      </c>
      <c r="I25" s="41">
        <f>IF(SUM(F25:H25)=0,0,SUM(F25:H25)/'Sm Comm Cust Fcst'!Q26)</f>
        <v>0</v>
      </c>
      <c r="J25" s="109">
        <f>'Sm Comm Cust Fcst'!$R26*'Non-Residential TSM UC Adj'!J24</f>
        <v>0</v>
      </c>
      <c r="K25" s="23">
        <f>'Sm Comm Cust Fcst'!$R26*'Non-Residential TSM UC Adj'!K24</f>
        <v>0</v>
      </c>
      <c r="L25" s="23">
        <f>'Sm Comm Cust Fcst'!$R26*'Non-Residential TSM UC Adj'!L24</f>
        <v>0</v>
      </c>
      <c r="M25" s="41">
        <f>IF(SUM(J25:L25)=0,0,SUM(J25:L25)/'Sm Comm Cust Fcst'!R26)</f>
        <v>0</v>
      </c>
      <c r="N25" s="109">
        <f>'Sm Comm Cust Fcst'!$S26*'Non-Residential TSM UC Adj'!N24</f>
        <v>0</v>
      </c>
      <c r="O25" s="23">
        <f>'Sm Comm Cust Fcst'!$S26*'Non-Residential TSM UC Adj'!O24</f>
        <v>0</v>
      </c>
      <c r="P25" s="23">
        <f>'Sm Comm Cust Fcst'!$S26*'Non-Residential TSM UC Adj'!P24</f>
        <v>0</v>
      </c>
      <c r="Q25" s="23">
        <f>IF(SUM(N25:P25)=0,0,SUM(N25:P25)/'Sm Comm Cust Fcst'!S26)</f>
        <v>0</v>
      </c>
      <c r="R25" s="109">
        <f t="shared" si="1"/>
        <v>0</v>
      </c>
      <c r="S25" s="23">
        <f t="shared" si="1"/>
        <v>0</v>
      </c>
      <c r="T25" s="23">
        <f t="shared" si="1"/>
        <v>0</v>
      </c>
      <c r="U25" s="41">
        <f>IF(SUM(R25:T25)=0,0,SUM(R25:T25)/'Sm Comm Cust Fcst'!T26)</f>
        <v>0</v>
      </c>
    </row>
    <row r="26" spans="1:21" ht="13">
      <c r="A26" s="126" t="s">
        <v>17</v>
      </c>
      <c r="B26" s="109">
        <f>'Sm Comm Cust Fcst'!$P27*'Non-Residential TSM UC Adj'!J25</f>
        <v>0</v>
      </c>
      <c r="C26" s="23">
        <f>'Sm Comm Cust Fcst'!$P27*'Non-Residential TSM UC Adj'!K25</f>
        <v>0</v>
      </c>
      <c r="D26" s="23">
        <f>'Sm Comm Cust Fcst'!$P27*'Non-Residential TSM UC Adj'!L25</f>
        <v>0</v>
      </c>
      <c r="E26" s="41">
        <f>IF(SUM(B26:D26)=0,0,SUM(B26:D26)/'Sm Comm Cust Fcst'!P27)</f>
        <v>0</v>
      </c>
      <c r="F26" s="109">
        <f>'Sm Comm Cust Fcst'!$Q27*'Non-Residential TSM UC Adj'!J25</f>
        <v>0</v>
      </c>
      <c r="G26" s="23">
        <f>'Sm Comm Cust Fcst'!$Q27*'Non-Residential TSM UC Adj'!K25</f>
        <v>0</v>
      </c>
      <c r="H26" s="23">
        <f>'Sm Comm Cust Fcst'!$Q27*'Non-Residential TSM UC Adj'!L25</f>
        <v>0</v>
      </c>
      <c r="I26" s="41">
        <f>IF(SUM(F26:H26)=0,0,SUM(F26:H26)/'Sm Comm Cust Fcst'!Q27)</f>
        <v>0</v>
      </c>
      <c r="J26" s="109">
        <f>'Sm Comm Cust Fcst'!$R27*'Non-Residential TSM UC Adj'!J25</f>
        <v>0</v>
      </c>
      <c r="K26" s="23">
        <f>'Sm Comm Cust Fcst'!$R27*'Non-Residential TSM UC Adj'!K25</f>
        <v>0</v>
      </c>
      <c r="L26" s="23">
        <f>'Sm Comm Cust Fcst'!$R27*'Non-Residential TSM UC Adj'!L25</f>
        <v>0</v>
      </c>
      <c r="M26" s="41">
        <f>IF(SUM(J26:L26)=0,0,SUM(J26:L26)/'Sm Comm Cust Fcst'!R27)</f>
        <v>0</v>
      </c>
      <c r="N26" s="109">
        <f>'Sm Comm Cust Fcst'!$S27*'Non-Residential TSM UC Adj'!N25</f>
        <v>0</v>
      </c>
      <c r="O26" s="23">
        <f>'Sm Comm Cust Fcst'!$S27*'Non-Residential TSM UC Adj'!O25</f>
        <v>0</v>
      </c>
      <c r="P26" s="23">
        <f>'Sm Comm Cust Fcst'!$S27*'Non-Residential TSM UC Adj'!P25</f>
        <v>0</v>
      </c>
      <c r="Q26" s="23">
        <f>IF(SUM(N26:P26)=0,0,SUM(N26:P26)/'Sm Comm Cust Fcst'!S27)</f>
        <v>0</v>
      </c>
      <c r="R26" s="109">
        <f t="shared" si="1"/>
        <v>0</v>
      </c>
      <c r="S26" s="23">
        <f t="shared" si="1"/>
        <v>0</v>
      </c>
      <c r="T26" s="23">
        <f t="shared" si="1"/>
        <v>0</v>
      </c>
      <c r="U26" s="41">
        <f>IF(SUM(R26:T26)=0,0,SUM(R26:T26)/'Sm Comm Cust Fcst'!T27)</f>
        <v>0</v>
      </c>
    </row>
    <row r="27" spans="1:21" ht="13">
      <c r="A27" s="126" t="s">
        <v>18</v>
      </c>
      <c r="B27" s="109">
        <f>'Sm Comm Cust Fcst'!$P28*'Non-Residential TSM UC Adj'!J26</f>
        <v>0</v>
      </c>
      <c r="C27" s="23">
        <f>'Sm Comm Cust Fcst'!$P28*'Non-Residential TSM UC Adj'!K26</f>
        <v>0</v>
      </c>
      <c r="D27" s="23">
        <f>'Sm Comm Cust Fcst'!$P28*'Non-Residential TSM UC Adj'!L26</f>
        <v>0</v>
      </c>
      <c r="E27" s="41">
        <f>IF(SUM(B27:D27)=0,0,SUM(B27:D27)/'Sm Comm Cust Fcst'!P28)</f>
        <v>0</v>
      </c>
      <c r="F27" s="109">
        <f>'Sm Comm Cust Fcst'!$Q28*'Non-Residential TSM UC Adj'!J26</f>
        <v>0</v>
      </c>
      <c r="G27" s="23">
        <f>'Sm Comm Cust Fcst'!$Q28*'Non-Residential TSM UC Adj'!K26</f>
        <v>0</v>
      </c>
      <c r="H27" s="23">
        <f>'Sm Comm Cust Fcst'!$Q28*'Non-Residential TSM UC Adj'!L26</f>
        <v>0</v>
      </c>
      <c r="I27" s="41">
        <f>IF(SUM(F27:H27)=0,0,SUM(F27:H27)/'Sm Comm Cust Fcst'!Q28)</f>
        <v>0</v>
      </c>
      <c r="J27" s="109">
        <f>'Sm Comm Cust Fcst'!$R28*'Non-Residential TSM UC Adj'!J26</f>
        <v>0</v>
      </c>
      <c r="K27" s="23">
        <f>'Sm Comm Cust Fcst'!$R28*'Non-Residential TSM UC Adj'!K26</f>
        <v>0</v>
      </c>
      <c r="L27" s="23">
        <f>'Sm Comm Cust Fcst'!$R28*'Non-Residential TSM UC Adj'!L26</f>
        <v>0</v>
      </c>
      <c r="M27" s="41">
        <f>IF(SUM(J27:L27)=0,0,SUM(J27:L27)/'Sm Comm Cust Fcst'!R28)</f>
        <v>0</v>
      </c>
      <c r="N27" s="109">
        <f>'Sm Comm Cust Fcst'!$S28*'Non-Residential TSM UC Adj'!N26</f>
        <v>0</v>
      </c>
      <c r="O27" s="23">
        <f>'Sm Comm Cust Fcst'!$S28*'Non-Residential TSM UC Adj'!O26</f>
        <v>0</v>
      </c>
      <c r="P27" s="23">
        <f>'Sm Comm Cust Fcst'!$S28*'Non-Residential TSM UC Adj'!P26</f>
        <v>0</v>
      </c>
      <c r="Q27" s="23">
        <f>IF(SUM(N27:P27)=0,0,SUM(N27:P27)/'Sm Comm Cust Fcst'!S28)</f>
        <v>0</v>
      </c>
      <c r="R27" s="109">
        <f t="shared" si="1"/>
        <v>0</v>
      </c>
      <c r="S27" s="23">
        <f t="shared" si="1"/>
        <v>0</v>
      </c>
      <c r="T27" s="23">
        <f t="shared" si="1"/>
        <v>0</v>
      </c>
      <c r="U27" s="41">
        <f>IF(SUM(R27:T27)=0,0,SUM(R27:T27)/'Sm Comm Cust Fcst'!T28)</f>
        <v>0</v>
      </c>
    </row>
    <row r="28" spans="1:21" ht="13">
      <c r="A28" s="126" t="s">
        <v>19</v>
      </c>
      <c r="B28" s="109">
        <f>'Sm Comm Cust Fcst'!$P29*'Non-Residential TSM UC Adj'!J27</f>
        <v>0</v>
      </c>
      <c r="C28" s="23">
        <f>'Sm Comm Cust Fcst'!$P29*'Non-Residential TSM UC Adj'!K27</f>
        <v>0</v>
      </c>
      <c r="D28" s="23">
        <f>'Sm Comm Cust Fcst'!$P29*'Non-Residential TSM UC Adj'!L27</f>
        <v>0</v>
      </c>
      <c r="E28" s="41">
        <f>IF(SUM(B28:D28)=0,0,SUM(B28:D28)/'Sm Comm Cust Fcst'!P29)</f>
        <v>0</v>
      </c>
      <c r="F28" s="109">
        <f>'Sm Comm Cust Fcst'!$Q29*'Non-Residential TSM UC Adj'!J27</f>
        <v>0</v>
      </c>
      <c r="G28" s="23">
        <f>'Sm Comm Cust Fcst'!$Q29*'Non-Residential TSM UC Adj'!K27</f>
        <v>0</v>
      </c>
      <c r="H28" s="23">
        <f>'Sm Comm Cust Fcst'!$Q29*'Non-Residential TSM UC Adj'!L27</f>
        <v>0</v>
      </c>
      <c r="I28" s="41">
        <f>IF(SUM(F28:H28)=0,0,SUM(F28:H28)/'Sm Comm Cust Fcst'!Q29)</f>
        <v>0</v>
      </c>
      <c r="J28" s="109">
        <f>'Sm Comm Cust Fcst'!$R29*'Non-Residential TSM UC Adj'!J27</f>
        <v>0</v>
      </c>
      <c r="K28" s="23">
        <f>'Sm Comm Cust Fcst'!$R29*'Non-Residential TSM UC Adj'!K27</f>
        <v>0</v>
      </c>
      <c r="L28" s="23">
        <f>'Sm Comm Cust Fcst'!$R29*'Non-Residential TSM UC Adj'!L27</f>
        <v>0</v>
      </c>
      <c r="M28" s="41">
        <f>IF(SUM(J28:L28)=0,0,SUM(J28:L28)/'Sm Comm Cust Fcst'!R29)</f>
        <v>0</v>
      </c>
      <c r="N28" s="109">
        <f>'Sm Comm Cust Fcst'!$S29*'Non-Residential TSM UC Adj'!N27</f>
        <v>0</v>
      </c>
      <c r="O28" s="23">
        <f>'Sm Comm Cust Fcst'!$S29*'Non-Residential TSM UC Adj'!O27</f>
        <v>0</v>
      </c>
      <c r="P28" s="23">
        <f>'Sm Comm Cust Fcst'!$S29*'Non-Residential TSM UC Adj'!P27</f>
        <v>0</v>
      </c>
      <c r="Q28" s="23">
        <f>IF(SUM(N28:P28)=0,0,SUM(N28:P28)/'Sm Comm Cust Fcst'!S29)</f>
        <v>0</v>
      </c>
      <c r="R28" s="109">
        <f t="shared" si="1"/>
        <v>0</v>
      </c>
      <c r="S28" s="23">
        <f t="shared" si="1"/>
        <v>0</v>
      </c>
      <c r="T28" s="23">
        <f t="shared" si="1"/>
        <v>0</v>
      </c>
      <c r="U28" s="41">
        <f>IF(SUM(R28:T28)=0,0,SUM(R28:T28)/'Sm Comm Cust Fcst'!T29)</f>
        <v>0</v>
      </c>
    </row>
    <row r="29" spans="1:21" ht="13">
      <c r="A29" s="126" t="s">
        <v>20</v>
      </c>
      <c r="B29" s="109">
        <f>'Sm Comm Cust Fcst'!$P30*'Non-Residential TSM UC Adj'!J28</f>
        <v>0</v>
      </c>
      <c r="C29" s="23">
        <f>'Sm Comm Cust Fcst'!$P30*'Non-Residential TSM UC Adj'!K28</f>
        <v>0</v>
      </c>
      <c r="D29" s="23">
        <f>'Sm Comm Cust Fcst'!$P30*'Non-Residential TSM UC Adj'!L28</f>
        <v>0</v>
      </c>
      <c r="E29" s="41">
        <f>IF(SUM(B29:D29)=0,0,SUM(B29:D29)/'Sm Comm Cust Fcst'!P30)</f>
        <v>0</v>
      </c>
      <c r="F29" s="109">
        <f>'Sm Comm Cust Fcst'!$Q30*'Non-Residential TSM UC Adj'!J28</f>
        <v>0</v>
      </c>
      <c r="G29" s="23">
        <f>'Sm Comm Cust Fcst'!$Q30*'Non-Residential TSM UC Adj'!K28</f>
        <v>0</v>
      </c>
      <c r="H29" s="23">
        <f>'Sm Comm Cust Fcst'!$Q30*'Non-Residential TSM UC Adj'!L28</f>
        <v>0</v>
      </c>
      <c r="I29" s="41">
        <f>IF(SUM(F29:H29)=0,0,SUM(F29:H29)/'Sm Comm Cust Fcst'!Q30)</f>
        <v>0</v>
      </c>
      <c r="J29" s="109">
        <f>'Sm Comm Cust Fcst'!$R30*'Non-Residential TSM UC Adj'!J28</f>
        <v>0</v>
      </c>
      <c r="K29" s="23">
        <f>'Sm Comm Cust Fcst'!$R30*'Non-Residential TSM UC Adj'!K28</f>
        <v>0</v>
      </c>
      <c r="L29" s="23">
        <f>'Sm Comm Cust Fcst'!$R30*'Non-Residential TSM UC Adj'!L28</f>
        <v>0</v>
      </c>
      <c r="M29" s="41">
        <f>IF(SUM(J29:L29)=0,0,SUM(J29:L29)/'Sm Comm Cust Fcst'!R30)</f>
        <v>0</v>
      </c>
      <c r="N29" s="109">
        <f>'Sm Comm Cust Fcst'!$S30*'Non-Residential TSM UC Adj'!N28</f>
        <v>0</v>
      </c>
      <c r="O29" s="23">
        <f>'Sm Comm Cust Fcst'!$S30*'Non-Residential TSM UC Adj'!O28</f>
        <v>0</v>
      </c>
      <c r="P29" s="23">
        <f>'Sm Comm Cust Fcst'!$S30*'Non-Residential TSM UC Adj'!P28</f>
        <v>0</v>
      </c>
      <c r="Q29" s="23">
        <f>IF(SUM(N29:P29)=0,0,SUM(N29:P29)/'Sm Comm Cust Fcst'!S30)</f>
        <v>0</v>
      </c>
      <c r="R29" s="109">
        <f t="shared" si="1"/>
        <v>0</v>
      </c>
      <c r="S29" s="23">
        <f t="shared" si="1"/>
        <v>0</v>
      </c>
      <c r="T29" s="23">
        <f t="shared" si="1"/>
        <v>0</v>
      </c>
      <c r="U29" s="41">
        <f>IF(SUM(R29:T29)=0,0,SUM(R29:T29)/'Sm Comm Cust Fcst'!T30)</f>
        <v>0</v>
      </c>
    </row>
    <row r="30" spans="1:21" ht="13">
      <c r="A30" s="126" t="s">
        <v>21</v>
      </c>
      <c r="B30" s="109">
        <f>'Sm Comm Cust Fcst'!$P31*'Non-Residential TSM UC Adj'!J29</f>
        <v>0</v>
      </c>
      <c r="C30" s="23">
        <f>'Sm Comm Cust Fcst'!$P31*'Non-Residential TSM UC Adj'!K29</f>
        <v>0</v>
      </c>
      <c r="D30" s="23">
        <f>'Sm Comm Cust Fcst'!$P31*'Non-Residential TSM UC Adj'!L29</f>
        <v>0</v>
      </c>
      <c r="E30" s="41">
        <f>IF(SUM(B30:D30)=0,0,SUM(B30:D30)/'Sm Comm Cust Fcst'!P31)</f>
        <v>0</v>
      </c>
      <c r="F30" s="109">
        <f>'Sm Comm Cust Fcst'!$Q31*'Non-Residential TSM UC Adj'!J29</f>
        <v>0</v>
      </c>
      <c r="G30" s="23">
        <f>'Sm Comm Cust Fcst'!$Q31*'Non-Residential TSM UC Adj'!K29</f>
        <v>0</v>
      </c>
      <c r="H30" s="23">
        <f>'Sm Comm Cust Fcst'!$Q31*'Non-Residential TSM UC Adj'!L29</f>
        <v>0</v>
      </c>
      <c r="I30" s="41">
        <f>IF(SUM(F30:H30)=0,0,SUM(F30:H30)/'Sm Comm Cust Fcst'!Q31)</f>
        <v>0</v>
      </c>
      <c r="J30" s="109">
        <f>'Sm Comm Cust Fcst'!$R31*'Non-Residential TSM UC Adj'!J29</f>
        <v>0</v>
      </c>
      <c r="K30" s="23">
        <f>'Sm Comm Cust Fcst'!$R31*'Non-Residential TSM UC Adj'!K29</f>
        <v>0</v>
      </c>
      <c r="L30" s="23">
        <f>'Sm Comm Cust Fcst'!$R31*'Non-Residential TSM UC Adj'!L29</f>
        <v>0</v>
      </c>
      <c r="M30" s="41">
        <f>IF(SUM(J30:L30)=0,0,SUM(J30:L30)/'Sm Comm Cust Fcst'!R31)</f>
        <v>0</v>
      </c>
      <c r="N30" s="109">
        <f>'Sm Comm Cust Fcst'!$S31*'Non-Residential TSM UC Adj'!N29</f>
        <v>0</v>
      </c>
      <c r="O30" s="23">
        <f>'Sm Comm Cust Fcst'!$S31*'Non-Residential TSM UC Adj'!O29</f>
        <v>0</v>
      </c>
      <c r="P30" s="23">
        <f>'Sm Comm Cust Fcst'!$S31*'Non-Residential TSM UC Adj'!P29</f>
        <v>0</v>
      </c>
      <c r="Q30" s="23">
        <f>IF(SUM(N30:P30)=0,0,SUM(N30:P30)/'Sm Comm Cust Fcst'!S31)</f>
        <v>0</v>
      </c>
      <c r="R30" s="109">
        <f t="shared" si="1"/>
        <v>0</v>
      </c>
      <c r="S30" s="23">
        <f t="shared" si="1"/>
        <v>0</v>
      </c>
      <c r="T30" s="23">
        <f t="shared" si="1"/>
        <v>0</v>
      </c>
      <c r="U30" s="41">
        <f>IF(SUM(R30:T30)=0,0,SUM(R30:T30)/'Sm Comm Cust Fcst'!T31)</f>
        <v>0</v>
      </c>
    </row>
    <row r="31" spans="1:21" ht="13">
      <c r="A31" s="126" t="s">
        <v>22</v>
      </c>
      <c r="B31" s="109">
        <f>'Sm Comm Cust Fcst'!$P32*'Non-Residential TSM UC Adj'!J30</f>
        <v>0</v>
      </c>
      <c r="C31" s="23">
        <f>'Sm Comm Cust Fcst'!$P32*'Non-Residential TSM UC Adj'!K30</f>
        <v>0</v>
      </c>
      <c r="D31" s="23">
        <f>'Sm Comm Cust Fcst'!$P32*'Non-Residential TSM UC Adj'!L30</f>
        <v>0</v>
      </c>
      <c r="E31" s="41">
        <f>IF(SUM(B31:D31)=0,0,SUM(B31:D31)/'Sm Comm Cust Fcst'!P32)</f>
        <v>0</v>
      </c>
      <c r="F31" s="109">
        <f>'Sm Comm Cust Fcst'!$Q32*'Non-Residential TSM UC Adj'!J30</f>
        <v>0</v>
      </c>
      <c r="G31" s="23">
        <f>'Sm Comm Cust Fcst'!$Q32*'Non-Residential TSM UC Adj'!K30</f>
        <v>0</v>
      </c>
      <c r="H31" s="23">
        <f>'Sm Comm Cust Fcst'!$Q32*'Non-Residential TSM UC Adj'!L30</f>
        <v>0</v>
      </c>
      <c r="I31" s="41">
        <f>IF(SUM(F31:H31)=0,0,SUM(F31:H31)/'Sm Comm Cust Fcst'!Q32)</f>
        <v>0</v>
      </c>
      <c r="J31" s="109">
        <f>'Sm Comm Cust Fcst'!$R32*'Non-Residential TSM UC Adj'!J30</f>
        <v>0</v>
      </c>
      <c r="K31" s="23">
        <f>'Sm Comm Cust Fcst'!$R32*'Non-Residential TSM UC Adj'!K30</f>
        <v>0</v>
      </c>
      <c r="L31" s="23">
        <f>'Sm Comm Cust Fcst'!$R32*'Non-Residential TSM UC Adj'!L30</f>
        <v>0</v>
      </c>
      <c r="M31" s="41">
        <f>IF(SUM(J31:L31)=0,0,SUM(J31:L31)/'Sm Comm Cust Fcst'!R32)</f>
        <v>0</v>
      </c>
      <c r="N31" s="109">
        <f>'Sm Comm Cust Fcst'!$S32*'Non-Residential TSM UC Adj'!N30</f>
        <v>0</v>
      </c>
      <c r="O31" s="23">
        <f>'Sm Comm Cust Fcst'!$S32*'Non-Residential TSM UC Adj'!O30</f>
        <v>0</v>
      </c>
      <c r="P31" s="23">
        <f>'Sm Comm Cust Fcst'!$S32*'Non-Residential TSM UC Adj'!P30</f>
        <v>0</v>
      </c>
      <c r="Q31" s="23">
        <f>IF(SUM(N31:P31)=0,0,SUM(N31:P31)/'Sm Comm Cust Fcst'!S32)</f>
        <v>0</v>
      </c>
      <c r="R31" s="109">
        <f t="shared" si="1"/>
        <v>0</v>
      </c>
      <c r="S31" s="23">
        <f t="shared" si="1"/>
        <v>0</v>
      </c>
      <c r="T31" s="23">
        <f t="shared" si="1"/>
        <v>0</v>
      </c>
      <c r="U31" s="41">
        <f>IF(SUM(R31:T31)=0,0,SUM(R31:T31)/'Sm Comm Cust Fcst'!T32)</f>
        <v>0</v>
      </c>
    </row>
    <row r="32" spans="1:21" ht="13">
      <c r="A32" s="124" t="s">
        <v>23</v>
      </c>
      <c r="B32" s="109">
        <f>'Sm Comm Cust Fcst'!$P33*'Non-Residential TSM UC Adj'!J31</f>
        <v>0</v>
      </c>
      <c r="C32" s="23">
        <f>'Sm Comm Cust Fcst'!$P33*'Non-Residential TSM UC Adj'!K31</f>
        <v>0</v>
      </c>
      <c r="D32" s="23">
        <f>'Sm Comm Cust Fcst'!$P33*'Non-Residential TSM UC Adj'!L31</f>
        <v>0</v>
      </c>
      <c r="E32" s="41">
        <f>IF(SUM(B32:D32)=0,0,SUM(B32:D32)/'Sm Comm Cust Fcst'!P33)</f>
        <v>0</v>
      </c>
      <c r="F32" s="109">
        <f>'Sm Comm Cust Fcst'!$Q33*'Non-Residential TSM UC Adj'!J31</f>
        <v>0</v>
      </c>
      <c r="G32" s="23">
        <f>'Sm Comm Cust Fcst'!$Q33*'Non-Residential TSM UC Adj'!K31</f>
        <v>0</v>
      </c>
      <c r="H32" s="23">
        <f>'Sm Comm Cust Fcst'!$Q33*'Non-Residential TSM UC Adj'!L31</f>
        <v>0</v>
      </c>
      <c r="I32" s="41">
        <f>IF(SUM(F32:H32)=0,0,SUM(F32:H32)/'Sm Comm Cust Fcst'!Q33)</f>
        <v>0</v>
      </c>
      <c r="J32" s="109">
        <f>'Sm Comm Cust Fcst'!$R33*'Non-Residential TSM UC Adj'!J31</f>
        <v>0</v>
      </c>
      <c r="K32" s="23">
        <f>'Sm Comm Cust Fcst'!$R33*'Non-Residential TSM UC Adj'!K31</f>
        <v>0</v>
      </c>
      <c r="L32" s="23">
        <f>'Sm Comm Cust Fcst'!$R33*'Non-Residential TSM UC Adj'!L31</f>
        <v>0</v>
      </c>
      <c r="M32" s="41">
        <f>IF(SUM(J32:L32)=0,0,SUM(J32:L32)/'Sm Comm Cust Fcst'!R33)</f>
        <v>0</v>
      </c>
      <c r="N32" s="109">
        <f>'Sm Comm Cust Fcst'!$S33*'Non-Residential TSM UC Adj'!N31</f>
        <v>0</v>
      </c>
      <c r="O32" s="23">
        <f>'Sm Comm Cust Fcst'!$S33*'Non-Residential TSM UC Adj'!O31</f>
        <v>0</v>
      </c>
      <c r="P32" s="23">
        <f>'Sm Comm Cust Fcst'!$S33*'Non-Residential TSM UC Adj'!P31</f>
        <v>0</v>
      </c>
      <c r="Q32" s="23">
        <f>IF(SUM(N32:P32)=0,0,SUM(N32:P32)/'Sm Comm Cust Fcst'!S33)</f>
        <v>0</v>
      </c>
      <c r="R32" s="109">
        <f t="shared" si="1"/>
        <v>0</v>
      </c>
      <c r="S32" s="23">
        <f t="shared" si="1"/>
        <v>0</v>
      </c>
      <c r="T32" s="23">
        <f t="shared" si="1"/>
        <v>0</v>
      </c>
      <c r="U32" s="41">
        <f>IF(SUM(R32:T32)=0,0,SUM(R32:T32)/'Sm Comm Cust Fcst'!T33)</f>
        <v>0</v>
      </c>
    </row>
    <row r="33" spans="1:23" ht="13">
      <c r="A33" s="124" t="s">
        <v>24</v>
      </c>
      <c r="B33" s="109">
        <f>'Sm Comm Cust Fcst'!$P34*'Non-Residential TSM UC Adj'!J32</f>
        <v>0</v>
      </c>
      <c r="C33" s="23">
        <f>'Sm Comm Cust Fcst'!$P34*'Non-Residential TSM UC Adj'!K32</f>
        <v>0</v>
      </c>
      <c r="D33" s="23">
        <f>'Sm Comm Cust Fcst'!$P34*'Non-Residential TSM UC Adj'!L32</f>
        <v>0</v>
      </c>
      <c r="E33" s="41">
        <f>IF(SUM(B33:D33)=0,0,SUM(B33:D33)/'Sm Comm Cust Fcst'!P34)</f>
        <v>0</v>
      </c>
      <c r="F33" s="109">
        <f>'Sm Comm Cust Fcst'!$Q34*'Non-Residential TSM UC Adj'!J32</f>
        <v>0</v>
      </c>
      <c r="G33" s="23">
        <f>'Sm Comm Cust Fcst'!$Q34*'Non-Residential TSM UC Adj'!K32</f>
        <v>0</v>
      </c>
      <c r="H33" s="23">
        <f>'Sm Comm Cust Fcst'!$Q34*'Non-Residential TSM UC Adj'!L32</f>
        <v>0</v>
      </c>
      <c r="I33" s="41">
        <f>IF(SUM(F33:H33)=0,0,SUM(F33:H33)/'Sm Comm Cust Fcst'!Q34)</f>
        <v>0</v>
      </c>
      <c r="J33" s="109">
        <f>'Sm Comm Cust Fcst'!$R34*'Non-Residential TSM UC Adj'!J32</f>
        <v>0</v>
      </c>
      <c r="K33" s="23">
        <f>'Sm Comm Cust Fcst'!$R34*'Non-Residential TSM UC Adj'!K32</f>
        <v>0</v>
      </c>
      <c r="L33" s="23">
        <f>'Sm Comm Cust Fcst'!$R34*'Non-Residential TSM UC Adj'!L32</f>
        <v>0</v>
      </c>
      <c r="M33" s="41">
        <f>IF(SUM(J33:L33)=0,0,SUM(J33:L33)/'Sm Comm Cust Fcst'!R34)</f>
        <v>0</v>
      </c>
      <c r="N33" s="109">
        <f>'Sm Comm Cust Fcst'!$S34*'Non-Residential TSM UC Adj'!N32</f>
        <v>0</v>
      </c>
      <c r="O33" s="23">
        <f>'Sm Comm Cust Fcst'!$S34*'Non-Residential TSM UC Adj'!O32</f>
        <v>0</v>
      </c>
      <c r="P33" s="23">
        <f>'Sm Comm Cust Fcst'!$S34*'Non-Residential TSM UC Adj'!P32</f>
        <v>0</v>
      </c>
      <c r="Q33" s="23">
        <f>IF(SUM(N33:P33)=0,0,SUM(N33:P33)/'Sm Comm Cust Fcst'!S34)</f>
        <v>0</v>
      </c>
      <c r="R33" s="109">
        <f t="shared" si="1"/>
        <v>0</v>
      </c>
      <c r="S33" s="23">
        <f t="shared" si="1"/>
        <v>0</v>
      </c>
      <c r="T33" s="23">
        <f t="shared" si="1"/>
        <v>0</v>
      </c>
      <c r="U33" s="41">
        <f>IF(SUM(R33:T33)=0,0,SUM(R33:T33)/'Sm Comm Cust Fcst'!T34)</f>
        <v>0</v>
      </c>
    </row>
    <row r="34" spans="1:23" ht="13">
      <c r="A34" s="124" t="s">
        <v>25</v>
      </c>
      <c r="B34" s="109">
        <f>'Sm Comm Cust Fcst'!$P35*'Non-Residential TSM UC Adj'!J33</f>
        <v>0</v>
      </c>
      <c r="C34" s="23">
        <f>'Sm Comm Cust Fcst'!$P35*'Non-Residential TSM UC Adj'!K33</f>
        <v>0</v>
      </c>
      <c r="D34" s="23">
        <f>'Sm Comm Cust Fcst'!$P35*'Non-Residential TSM UC Adj'!L33</f>
        <v>0</v>
      </c>
      <c r="E34" s="41">
        <f>IF(SUM(B34:D34)=0,0,SUM(B34:D34)/'Sm Comm Cust Fcst'!P35)</f>
        <v>0</v>
      </c>
      <c r="F34" s="109">
        <f>'Sm Comm Cust Fcst'!$Q35*'Non-Residential TSM UC Adj'!J33</f>
        <v>0</v>
      </c>
      <c r="G34" s="23">
        <f>'Sm Comm Cust Fcst'!$Q35*'Non-Residential TSM UC Adj'!K33</f>
        <v>0</v>
      </c>
      <c r="H34" s="23">
        <f>'Sm Comm Cust Fcst'!$Q35*'Non-Residential TSM UC Adj'!L33</f>
        <v>0</v>
      </c>
      <c r="I34" s="41">
        <f>IF(SUM(F34:H34)=0,0,SUM(F34:H34)/'Sm Comm Cust Fcst'!Q35)</f>
        <v>0</v>
      </c>
      <c r="J34" s="109">
        <f>'Sm Comm Cust Fcst'!$R35*'Non-Residential TSM UC Adj'!J33</f>
        <v>0</v>
      </c>
      <c r="K34" s="23">
        <f>'Sm Comm Cust Fcst'!$R35*'Non-Residential TSM UC Adj'!K33</f>
        <v>0</v>
      </c>
      <c r="L34" s="23">
        <f>'Sm Comm Cust Fcst'!$R35*'Non-Residential TSM UC Adj'!L33</f>
        <v>0</v>
      </c>
      <c r="M34" s="41">
        <f>IF(SUM(J34:L34)=0,0,SUM(J34:L34)/'Sm Comm Cust Fcst'!R35)</f>
        <v>0</v>
      </c>
      <c r="N34" s="109">
        <f>'Sm Comm Cust Fcst'!$S35*'Non-Residential TSM UC Adj'!N33</f>
        <v>0</v>
      </c>
      <c r="O34" s="23">
        <f>'Sm Comm Cust Fcst'!$S35*'Non-Residential TSM UC Adj'!O33</f>
        <v>0</v>
      </c>
      <c r="P34" s="23">
        <f>'Sm Comm Cust Fcst'!$S35*'Non-Residential TSM UC Adj'!P33</f>
        <v>0</v>
      </c>
      <c r="Q34" s="23">
        <f>IF(SUM(N34:P34)=0,0,SUM(N34:P34)/'Sm Comm Cust Fcst'!S35)</f>
        <v>0</v>
      </c>
      <c r="R34" s="109">
        <f t="shared" si="1"/>
        <v>0</v>
      </c>
      <c r="S34" s="23">
        <f t="shared" si="1"/>
        <v>0</v>
      </c>
      <c r="T34" s="23">
        <f t="shared" si="1"/>
        <v>0</v>
      </c>
      <c r="U34" s="41">
        <f>IF(SUM(R34:T34)=0,0,SUM(R34:T34)/'Sm Comm Cust Fcst'!T35)</f>
        <v>0</v>
      </c>
    </row>
    <row r="35" spans="1:23" ht="13">
      <c r="A35" s="124" t="s">
        <v>106</v>
      </c>
      <c r="B35" s="109">
        <f>'Sm Comm Cust Fcst'!$P36*'Non-Residential TSM UC Adj'!J34</f>
        <v>0</v>
      </c>
      <c r="C35" s="23">
        <f>'Sm Comm Cust Fcst'!$P36*'Non-Residential TSM UC Adj'!K34</f>
        <v>0</v>
      </c>
      <c r="D35" s="23">
        <f>'Sm Comm Cust Fcst'!$P36*'Non-Residential TSM UC Adj'!L34</f>
        <v>0</v>
      </c>
      <c r="E35" s="41">
        <f>IF(SUM(B35:D35)=0,0,SUM(B35:D35)/'Sm Comm Cust Fcst'!P36)</f>
        <v>0</v>
      </c>
      <c r="F35" s="109">
        <f>'Sm Comm Cust Fcst'!$Q36*'Non-Residential TSM UC Adj'!J34</f>
        <v>0</v>
      </c>
      <c r="G35" s="23">
        <f>'Sm Comm Cust Fcst'!$Q36*'Non-Residential TSM UC Adj'!K34</f>
        <v>0</v>
      </c>
      <c r="H35" s="23">
        <f>'Sm Comm Cust Fcst'!$Q36*'Non-Residential TSM UC Adj'!L34</f>
        <v>0</v>
      </c>
      <c r="I35" s="41">
        <f>IF(SUM(F35:H35)=0,0,SUM(F35:H35)/'Sm Comm Cust Fcst'!Q36)</f>
        <v>0</v>
      </c>
      <c r="J35" s="109">
        <f>'Sm Comm Cust Fcst'!$R36*'Non-Residential TSM UC Adj'!J34</f>
        <v>0</v>
      </c>
      <c r="K35" s="23">
        <f>'Sm Comm Cust Fcst'!$R36*'Non-Residential TSM UC Adj'!K34</f>
        <v>0</v>
      </c>
      <c r="L35" s="23">
        <f>'Sm Comm Cust Fcst'!$R36*'Non-Residential TSM UC Adj'!L34</f>
        <v>0</v>
      </c>
      <c r="M35" s="41">
        <f>IF(SUM(J35:L35)=0,0,SUM(J35:L35)/'Sm Comm Cust Fcst'!R36)</f>
        <v>0</v>
      </c>
      <c r="N35" s="109">
        <f>'Sm Comm Cust Fcst'!$S36*'Non-Residential TSM UC Adj'!N34</f>
        <v>0</v>
      </c>
      <c r="O35" s="23">
        <f>'Sm Comm Cust Fcst'!$S36*'Non-Residential TSM UC Adj'!O34</f>
        <v>0</v>
      </c>
      <c r="P35" s="23">
        <f>'Sm Comm Cust Fcst'!$S36*'Non-Residential TSM UC Adj'!P34</f>
        <v>0</v>
      </c>
      <c r="Q35" s="23">
        <f>IF(SUM(N35:P35)=0,0,SUM(N35:P35)/'Sm Comm Cust Fcst'!S36)</f>
        <v>0</v>
      </c>
      <c r="R35" s="109">
        <f t="shared" si="1"/>
        <v>0</v>
      </c>
      <c r="S35" s="23">
        <f t="shared" si="1"/>
        <v>0</v>
      </c>
      <c r="T35" s="23">
        <f t="shared" si="1"/>
        <v>0</v>
      </c>
      <c r="U35" s="41">
        <f>IF(SUM(R35:T35)=0,0,SUM(R35:T35)/'Sm Comm Cust Fcst'!T36)</f>
        <v>0</v>
      </c>
    </row>
    <row r="36" spans="1:23" ht="13">
      <c r="A36" s="124" t="s">
        <v>107</v>
      </c>
      <c r="B36" s="109">
        <f>'Sm Comm Cust Fcst'!$P37*'Non-Residential TSM UC Adj'!J35</f>
        <v>0</v>
      </c>
      <c r="C36" s="23">
        <f>'Sm Comm Cust Fcst'!$P37*'Non-Residential TSM UC Adj'!K35</f>
        <v>0</v>
      </c>
      <c r="D36" s="23">
        <f>'Sm Comm Cust Fcst'!$P37*'Non-Residential TSM UC Adj'!L35</f>
        <v>0</v>
      </c>
      <c r="E36" s="41">
        <f>IF(SUM(B36:D36)=0,0,SUM(B36:D36)/'Sm Comm Cust Fcst'!P37)</f>
        <v>0</v>
      </c>
      <c r="F36" s="109">
        <f>'Sm Comm Cust Fcst'!$Q37*'Non-Residential TSM UC Adj'!J35</f>
        <v>0</v>
      </c>
      <c r="G36" s="23">
        <f>'Sm Comm Cust Fcst'!$Q37*'Non-Residential TSM UC Adj'!K35</f>
        <v>0</v>
      </c>
      <c r="H36" s="23">
        <f>'Sm Comm Cust Fcst'!$Q37*'Non-Residential TSM UC Adj'!L35</f>
        <v>0</v>
      </c>
      <c r="I36" s="41">
        <f>IF(SUM(F36:H36)=0,0,SUM(F36:H36)/'Sm Comm Cust Fcst'!Q37)</f>
        <v>0</v>
      </c>
      <c r="J36" s="109">
        <f>'Sm Comm Cust Fcst'!$R37*'Non-Residential TSM UC Adj'!J35</f>
        <v>0</v>
      </c>
      <c r="K36" s="23">
        <f>'Sm Comm Cust Fcst'!$R37*'Non-Residential TSM UC Adj'!K35</f>
        <v>0</v>
      </c>
      <c r="L36" s="23">
        <f>'Sm Comm Cust Fcst'!$R37*'Non-Residential TSM UC Adj'!L35</f>
        <v>0</v>
      </c>
      <c r="M36" s="41">
        <f>IF(SUM(J36:L36)=0,0,SUM(J36:L36)/'Sm Comm Cust Fcst'!R37)</f>
        <v>0</v>
      </c>
      <c r="N36" s="109">
        <f>'Sm Comm Cust Fcst'!$S37*'Non-Residential TSM UC Adj'!N35</f>
        <v>0</v>
      </c>
      <c r="O36" s="23">
        <f>'Sm Comm Cust Fcst'!$S37*'Non-Residential TSM UC Adj'!O35</f>
        <v>0</v>
      </c>
      <c r="P36" s="23">
        <f>'Sm Comm Cust Fcst'!$S37*'Non-Residential TSM UC Adj'!P35</f>
        <v>0</v>
      </c>
      <c r="Q36" s="23">
        <f>IF(SUM(N36:P36)=0,0,SUM(N36:P36)/'Sm Comm Cust Fcst'!S37)</f>
        <v>0</v>
      </c>
      <c r="R36" s="109">
        <f t="shared" si="1"/>
        <v>0</v>
      </c>
      <c r="S36" s="23">
        <f t="shared" si="1"/>
        <v>0</v>
      </c>
      <c r="T36" s="23">
        <f t="shared" si="1"/>
        <v>0</v>
      </c>
      <c r="U36" s="41">
        <f>IF(SUM(R36:T36)=0,0,SUM(R36:T36)/'Sm Comm Cust Fcst'!T37)</f>
        <v>0</v>
      </c>
    </row>
    <row r="37" spans="1:23" ht="13">
      <c r="A37" s="126" t="s">
        <v>26</v>
      </c>
      <c r="B37" s="109">
        <f>'Sm Comm Cust Fcst'!$P38*'Non-Residential TSM UC Adj'!J36</f>
        <v>0</v>
      </c>
      <c r="C37" s="23">
        <f>'Sm Comm Cust Fcst'!$P38*'Non-Residential TSM UC Adj'!K36</f>
        <v>0</v>
      </c>
      <c r="D37" s="23">
        <f>'Sm Comm Cust Fcst'!$P38*'Non-Residential TSM UC Adj'!L36</f>
        <v>0</v>
      </c>
      <c r="E37" s="41">
        <f>IF(SUM(B37:D37)=0,0,SUM(B37:D37)/'Sm Comm Cust Fcst'!P38)</f>
        <v>0</v>
      </c>
      <c r="F37" s="109">
        <f>'Sm Comm Cust Fcst'!$Q38*'Non-Residential TSM UC Adj'!J36</f>
        <v>0</v>
      </c>
      <c r="G37" s="23">
        <f>'Sm Comm Cust Fcst'!$Q38*'Non-Residential TSM UC Adj'!K36</f>
        <v>0</v>
      </c>
      <c r="H37" s="23">
        <f>'Sm Comm Cust Fcst'!$Q38*'Non-Residential TSM UC Adj'!L36</f>
        <v>0</v>
      </c>
      <c r="I37" s="41">
        <f>IF(SUM(F37:H37)=0,0,SUM(F37:H37)/'Sm Comm Cust Fcst'!Q38)</f>
        <v>0</v>
      </c>
      <c r="J37" s="109">
        <f>'Sm Comm Cust Fcst'!$R38*'Non-Residential TSM UC Adj'!J36</f>
        <v>0</v>
      </c>
      <c r="K37" s="23">
        <f>'Sm Comm Cust Fcst'!$R38*'Non-Residential TSM UC Adj'!K36</f>
        <v>0</v>
      </c>
      <c r="L37" s="23">
        <f>'Sm Comm Cust Fcst'!$R38*'Non-Residential TSM UC Adj'!L36</f>
        <v>0</v>
      </c>
      <c r="M37" s="41">
        <f>IF(SUM(J37:L37)=0,0,SUM(J37:L37)/'Sm Comm Cust Fcst'!R38)</f>
        <v>0</v>
      </c>
      <c r="N37" s="109">
        <f>'Sm Comm Cust Fcst'!$S38*'Non-Residential TSM UC Adj'!N36</f>
        <v>0</v>
      </c>
      <c r="O37" s="23">
        <f>'Sm Comm Cust Fcst'!$S38*'Non-Residential TSM UC Adj'!O36</f>
        <v>0</v>
      </c>
      <c r="P37" s="23">
        <f>'Sm Comm Cust Fcst'!$S38*'Non-Residential TSM UC Adj'!P36</f>
        <v>0</v>
      </c>
      <c r="Q37" s="23">
        <f>IF(SUM(N37:P37)=0,0,SUM(N37:P37)/'Sm Comm Cust Fcst'!S38)</f>
        <v>0</v>
      </c>
      <c r="R37" s="109">
        <f t="shared" si="1"/>
        <v>0</v>
      </c>
      <c r="S37" s="23">
        <f t="shared" si="1"/>
        <v>0</v>
      </c>
      <c r="T37" s="23">
        <f t="shared" si="1"/>
        <v>0</v>
      </c>
      <c r="U37" s="41">
        <f>IF(SUM(R37:T37)=0,0,SUM(R37:T37)/'Sm Comm Cust Fcst'!T38)</f>
        <v>0</v>
      </c>
    </row>
    <row r="38" spans="1:23" ht="13">
      <c r="A38" s="126" t="s">
        <v>27</v>
      </c>
      <c r="B38" s="109">
        <f>'Sm Comm Cust Fcst'!$P39*'Non-Residential TSM UC Adj'!J37</f>
        <v>0</v>
      </c>
      <c r="C38" s="23">
        <f>'Sm Comm Cust Fcst'!$P39*'Non-Residential TSM UC Adj'!K37</f>
        <v>0</v>
      </c>
      <c r="D38" s="23">
        <f>'Sm Comm Cust Fcst'!$P39*'Non-Residential TSM UC Adj'!L37</f>
        <v>0</v>
      </c>
      <c r="E38" s="41">
        <f>IF(SUM(B38:D38)=0,0,SUM(B38:D38)/'Sm Comm Cust Fcst'!P39)</f>
        <v>0</v>
      </c>
      <c r="F38" s="109">
        <f>'Sm Comm Cust Fcst'!$Q39*'Non-Residential TSM UC Adj'!J37</f>
        <v>0</v>
      </c>
      <c r="G38" s="23">
        <f>'Sm Comm Cust Fcst'!$Q39*'Non-Residential TSM UC Adj'!K37</f>
        <v>0</v>
      </c>
      <c r="H38" s="23">
        <f>'Sm Comm Cust Fcst'!$Q39*'Non-Residential TSM UC Adj'!L37</f>
        <v>0</v>
      </c>
      <c r="I38" s="41">
        <f>IF(SUM(F38:H38)=0,0,SUM(F38:H38)/'Sm Comm Cust Fcst'!Q39)</f>
        <v>0</v>
      </c>
      <c r="J38" s="109">
        <f>'Sm Comm Cust Fcst'!$R39*'Non-Residential TSM UC Adj'!J37</f>
        <v>0</v>
      </c>
      <c r="K38" s="23">
        <f>'Sm Comm Cust Fcst'!$R39*'Non-Residential TSM UC Adj'!K37</f>
        <v>0</v>
      </c>
      <c r="L38" s="23">
        <f>'Sm Comm Cust Fcst'!$R39*'Non-Residential TSM UC Adj'!L37</f>
        <v>0</v>
      </c>
      <c r="M38" s="41">
        <f>IF(SUM(J38:L38)=0,0,SUM(J38:L38)/'Sm Comm Cust Fcst'!R39)</f>
        <v>0</v>
      </c>
      <c r="N38" s="109">
        <f>'Sm Comm Cust Fcst'!$S39*'Non-Residential TSM UC Adj'!N37</f>
        <v>0</v>
      </c>
      <c r="O38" s="23">
        <f>'Sm Comm Cust Fcst'!$S39*'Non-Residential TSM UC Adj'!O37</f>
        <v>0</v>
      </c>
      <c r="P38" s="23">
        <f>'Sm Comm Cust Fcst'!$S39*'Non-Residential TSM UC Adj'!P37</f>
        <v>0</v>
      </c>
      <c r="Q38" s="23">
        <f>IF(SUM(N38:P38)=0,0,SUM(N38:P38)/'Sm Comm Cust Fcst'!S39)</f>
        <v>0</v>
      </c>
      <c r="R38" s="109">
        <f t="shared" si="1"/>
        <v>0</v>
      </c>
      <c r="S38" s="23">
        <f t="shared" si="1"/>
        <v>0</v>
      </c>
      <c r="T38" s="23">
        <f t="shared" si="1"/>
        <v>0</v>
      </c>
      <c r="U38" s="41">
        <f>IF(SUM(R38:T38)=0,0,SUM(R38:T38)/'Sm Comm Cust Fcst'!T39)</f>
        <v>0</v>
      </c>
    </row>
    <row r="39" spans="1:23" ht="13.5" thickBot="1">
      <c r="A39" s="118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23"/>
      <c r="R39" s="109"/>
      <c r="S39" s="23"/>
      <c r="T39" s="23"/>
      <c r="U39" s="41"/>
    </row>
    <row r="40" spans="1:23" ht="13.5" thickBot="1">
      <c r="A40" s="178" t="s">
        <v>2</v>
      </c>
      <c r="B40" s="363">
        <f>IF(SUM(B7:B38)=0,0,SUM(B7:B38)/'Sm Comm Cust Fcst'!$P41)</f>
        <v>2182.7286417415198</v>
      </c>
      <c r="C40" s="366">
        <f>IF(SUM(C7:C38)=0,0,SUM(C7:C38)/'Sm Comm Cust Fcst'!$P41)</f>
        <v>172.82934577832256</v>
      </c>
      <c r="D40" s="366">
        <f>IF(SUM(D7:D38)=0,0,SUM(D7:D38)/'Sm Comm Cust Fcst'!$P41)</f>
        <v>234.29973156037588</v>
      </c>
      <c r="E40" s="366">
        <f>SUM(B40:D40)</f>
        <v>2589.857719080218</v>
      </c>
      <c r="F40" s="362">
        <f>IF(SUM(F7:F38)=0,0,SUM(F7:F38)/'Sm Comm Cust Fcst'!$Q41)</f>
        <v>0</v>
      </c>
      <c r="G40" s="365">
        <f>IF(SUM(G7:G38)=0,0,SUM(G7:G38)/'Sm Comm Cust Fcst'!$Q41)</f>
        <v>0</v>
      </c>
      <c r="H40" s="365">
        <f>IF(SUM(H7:H38)=0,0,SUM(H7:H38)/'Sm Comm Cust Fcst'!$Q41)</f>
        <v>0</v>
      </c>
      <c r="I40" s="367">
        <f>SUM(F40:H40)</f>
        <v>0</v>
      </c>
      <c r="J40" s="362">
        <f>IF(SUM(J7:J38)=0,0,SUM(J7:J38)/'Sm Comm Cust Fcst'!$R41)</f>
        <v>14844.294879568015</v>
      </c>
      <c r="K40" s="365">
        <f>IF(SUM(K7:K38)=0,0,SUM(K7:K38)/'Sm Comm Cust Fcst'!$R41)</f>
        <v>935.23510714228996</v>
      </c>
      <c r="L40" s="365">
        <f>IF(SUM(L7:L38)=0,0,SUM(L7:L38)/'Sm Comm Cust Fcst'!$R41)</f>
        <v>301.76349896014176</v>
      </c>
      <c r="M40" s="367">
        <f>SUM(J40:L40)</f>
        <v>16081.293485670447</v>
      </c>
      <c r="N40" s="362">
        <f>IF(SUM(N7:N38)=0,0,SUM(N7:N38)/'Sm Comm Cust Fcst'!$S41)</f>
        <v>0</v>
      </c>
      <c r="O40" s="365">
        <f>IF(SUM(O7:O38)=0,0,SUM(O7:O38)/'Sm Comm Cust Fcst'!$S41)</f>
        <v>0</v>
      </c>
      <c r="P40" s="365">
        <f>IF(SUM(P7:P38)=0,0,SUM(P7:P38)/'Sm Comm Cust Fcst'!$S41)</f>
        <v>0</v>
      </c>
      <c r="Q40" s="367">
        <f>SUM(N40:P40)</f>
        <v>0</v>
      </c>
      <c r="R40" s="362">
        <f>IF(SUM(R7:R38)=0,0,SUM(R7:R38)/'Sm Comm Cust Fcst'!$T41)</f>
        <v>8513.5117606547683</v>
      </c>
      <c r="S40" s="365">
        <f>IF(SUM(S7:S38)=0,0,SUM(S7:S38)/'Sm Comm Cust Fcst'!$T41)</f>
        <v>554.03222646030622</v>
      </c>
      <c r="T40" s="365">
        <f>IF(SUM(T7:T38)=0,0,SUM(T7:T38)/'Sm Comm Cust Fcst'!$T41)</f>
        <v>268.03161526025883</v>
      </c>
      <c r="U40" s="367">
        <f>SUM(R40:T40)</f>
        <v>9335.5756023753329</v>
      </c>
      <c r="W40" s="18"/>
    </row>
    <row r="41" spans="1:23" ht="13">
      <c r="A41" s="121" t="s">
        <v>87</v>
      </c>
      <c r="B41" s="363">
        <f>IF(SUM(B7:B8)=0,0,SUM(B7:B8)/'Sm Comm Cust Fcst'!$P42)</f>
        <v>0</v>
      </c>
      <c r="C41" s="366">
        <f>IF(SUM(C7:C8)=0,0,SUM(C7:C8)/'Sm Comm Cust Fcst'!$P42)</f>
        <v>0</v>
      </c>
      <c r="D41" s="366">
        <f>IF(SUM(D7:D8)=0,0,SUM(D7:D8)/'Sm Comm Cust Fcst'!$P42)</f>
        <v>0</v>
      </c>
      <c r="E41" s="366">
        <f>SUM(B41:D41)</f>
        <v>0</v>
      </c>
      <c r="F41" s="288">
        <f>IF(SUM(F7:F8)=0,0,SUM(F7:F8)/'Sm Comm Cust Fcst'!$Q42)</f>
        <v>0</v>
      </c>
      <c r="G41" s="83">
        <f>IF(SUM(G7:G8)=0,0,SUM(G7:G8)/'Sm Comm Cust Fcst'!$Q42)</f>
        <v>0</v>
      </c>
      <c r="H41" s="83">
        <f>IF(SUM(H7:H8)=0,0,SUM(H7:H8)/'Sm Comm Cust Fcst'!$Q42)</f>
        <v>0</v>
      </c>
      <c r="I41" s="289">
        <f>SUM(F41:H41)</f>
        <v>0</v>
      </c>
      <c r="J41" s="288">
        <f>IF(SUM(J7:J8)=0,0,SUM(J7:J8)/'Sm Comm Cust Fcst'!$R42)</f>
        <v>0</v>
      </c>
      <c r="K41" s="83">
        <f>IF(SUM(K7:K8)=0,0,SUM(K7:K8)/'Sm Comm Cust Fcst'!$R42)</f>
        <v>0</v>
      </c>
      <c r="L41" s="83">
        <f>IF(SUM(L7:L8)=0,0,SUM(L7:L8)/'Sm Comm Cust Fcst'!$R42)</f>
        <v>0</v>
      </c>
      <c r="M41" s="289">
        <f>SUM(J41:L41)</f>
        <v>0</v>
      </c>
      <c r="N41" s="288">
        <f>IF(SUM(N7:N8)=0,0,SUM(N7:N8)/'Sm Comm Cust Fcst'!$S42)</f>
        <v>0</v>
      </c>
      <c r="O41" s="83">
        <f>IF(SUM(O7:O8)=0,0,SUM(O7:O8)/'Sm Comm Cust Fcst'!$S42)</f>
        <v>0</v>
      </c>
      <c r="P41" s="83">
        <f>IF(SUM(P7:P8)=0,0,SUM(P7:P8)/'Sm Comm Cust Fcst'!$S42)</f>
        <v>0</v>
      </c>
      <c r="Q41" s="289">
        <f>SUM(N41:P41)</f>
        <v>0</v>
      </c>
      <c r="R41" s="83">
        <f>IF(SUM(R7:R8)=0,0,SUM(R7:R8)/'Sm Comm Cust Fcst'!$T42)</f>
        <v>0</v>
      </c>
      <c r="S41" s="83">
        <f>IF(SUM(S7:S8)=0,0,SUM(S7:S8)/'Sm Comm Cust Fcst'!$T42)</f>
        <v>0</v>
      </c>
      <c r="T41" s="83">
        <f>IF(SUM(T7:T8)=0,0,SUM(T7:T8)/'Sm Comm Cust Fcst'!$T42)</f>
        <v>0</v>
      </c>
      <c r="U41" s="289">
        <f>SUM(R41:T41)</f>
        <v>0</v>
      </c>
    </row>
    <row r="42" spans="1:23" ht="13">
      <c r="A42" s="21" t="s">
        <v>109</v>
      </c>
      <c r="B42" s="288">
        <f>IF(SUM(B9:B11)=0,0,SUM(B9:B11)/'Sm Comm Cust Fcst'!$P43)</f>
        <v>0</v>
      </c>
      <c r="C42" s="83">
        <f>IF(SUM(C9:C11)=0,0,SUM(C9:C11)/'Sm Comm Cust Fcst'!$P43)</f>
        <v>0</v>
      </c>
      <c r="D42" s="83">
        <f>IF(SUM(D9:D11)=0,0,SUM(D9:D11)/'Sm Comm Cust Fcst'!$P43)</f>
        <v>0</v>
      </c>
      <c r="E42" s="83">
        <f>SUM(B42:D42)</f>
        <v>0</v>
      </c>
      <c r="F42" s="288">
        <f>IF(SUM(F9:F11)=0,0,SUM(F9:F11)/'Sm Comm Cust Fcst'!$Q43)</f>
        <v>0</v>
      </c>
      <c r="G42" s="83">
        <f>IF(SUM(G9:G11)=0,0,SUM(G9:G11)/'Sm Comm Cust Fcst'!$Q43)</f>
        <v>0</v>
      </c>
      <c r="H42" s="83">
        <f>IF(SUM(H9:H11)=0,0,SUM(H9:H11)/'Sm Comm Cust Fcst'!$Q43)</f>
        <v>0</v>
      </c>
      <c r="I42" s="289">
        <f>SUM(F42:H42)</f>
        <v>0</v>
      </c>
      <c r="J42" s="288">
        <f>IF(SUM(J9:J11)=0,0,SUM(J9:J11)/'Sm Comm Cust Fcst'!$R43)</f>
        <v>0</v>
      </c>
      <c r="K42" s="83">
        <f>IF(SUM(K9:K11)=0,0,SUM(K9:K11)/'Sm Comm Cust Fcst'!$R43)</f>
        <v>0</v>
      </c>
      <c r="L42" s="83">
        <f>IF(SUM(L9:L11)=0,0,SUM(L9:L11)/'Sm Comm Cust Fcst'!$R43)</f>
        <v>0</v>
      </c>
      <c r="M42" s="289">
        <f>SUM(J42:L42)</f>
        <v>0</v>
      </c>
      <c r="N42" s="288">
        <f>IF(SUM(N9:N11)=0,0,SUM(N9:N11)/'Sm Comm Cust Fcst'!$S43)</f>
        <v>0</v>
      </c>
      <c r="O42" s="83">
        <f>IF(SUM(O9:O11)=0,0,SUM(O9:O11)/'Sm Comm Cust Fcst'!$S43)</f>
        <v>0</v>
      </c>
      <c r="P42" s="83">
        <f>IF(SUM(P9:P11)=0,0,SUM(P9:P11)/'Sm Comm Cust Fcst'!$S43)</f>
        <v>0</v>
      </c>
      <c r="Q42" s="289">
        <f>SUM(N42:P42)</f>
        <v>0</v>
      </c>
      <c r="R42" s="83">
        <f>IF(SUM(R9:R11)=0,0,SUM(R9:R11)/'Sm Comm Cust Fcst'!$T43)</f>
        <v>0</v>
      </c>
      <c r="S42" s="83">
        <f>IF(SUM(S9:S11)=0,0,SUM(S9:S11)/'Sm Comm Cust Fcst'!$T43)</f>
        <v>0</v>
      </c>
      <c r="T42" s="83">
        <f>IF(SUM(T9:T11)=0,0,SUM(T9:T11)/'Sm Comm Cust Fcst'!$T43)</f>
        <v>0</v>
      </c>
      <c r="U42" s="289">
        <f>SUM(R42:T42)</f>
        <v>0</v>
      </c>
    </row>
    <row r="43" spans="1:23" ht="13">
      <c r="A43" s="21" t="s">
        <v>110</v>
      </c>
      <c r="B43" s="288">
        <f>IF(SUM(B12:B13)=0,0,SUM(B12:B13)/'Sm Comm Cust Fcst'!$P44)</f>
        <v>2182.7286417415198</v>
      </c>
      <c r="C43" s="83">
        <f>IF(SUM(C12:C13)=0,0,SUM(C12:C13)/'Sm Comm Cust Fcst'!$P44)</f>
        <v>172.82934577832256</v>
      </c>
      <c r="D43" s="83">
        <f>IF(SUM(D12:D13)=0,0,SUM(D12:D13)/'Sm Comm Cust Fcst'!$P44)</f>
        <v>234.29973156037588</v>
      </c>
      <c r="E43" s="83">
        <f>SUM(B43:D43)</f>
        <v>2589.857719080218</v>
      </c>
      <c r="F43" s="288">
        <f>IF(SUM(F12:F13)=0,0,SUM(F12:F13)/'Sm Comm Cust Fcst'!$Q44)</f>
        <v>0</v>
      </c>
      <c r="G43" s="83">
        <f>IF(SUM(G12:G13)=0,0,SUM(G12:G13)/'Sm Comm Cust Fcst'!$Q44)</f>
        <v>0</v>
      </c>
      <c r="H43" s="83">
        <f>IF(SUM(H12:H13)=0,0,SUM(H12:H13)/'Sm Comm Cust Fcst'!$Q44)</f>
        <v>0</v>
      </c>
      <c r="I43" s="289">
        <f>SUM(F43:H43)</f>
        <v>0</v>
      </c>
      <c r="J43" s="288">
        <f>IF(SUM(J12:J13)=0,0,SUM(J12:J13)/'Sm Comm Cust Fcst'!$R44)</f>
        <v>14844.294879568015</v>
      </c>
      <c r="K43" s="83">
        <f>IF(SUM(K12:K13)=0,0,SUM(K12:K13)/'Sm Comm Cust Fcst'!$R44)</f>
        <v>935.23510714228996</v>
      </c>
      <c r="L43" s="83">
        <f>IF(SUM(L12:L13)=0,0,SUM(L12:L13)/'Sm Comm Cust Fcst'!$R44)</f>
        <v>301.76349896014176</v>
      </c>
      <c r="M43" s="289">
        <f>SUM(J43:L43)</f>
        <v>16081.293485670447</v>
      </c>
      <c r="N43" s="288">
        <f>IF(SUM(N12:N13)=0,0,SUM(N12:N13)/'Sm Comm Cust Fcst'!$S44)</f>
        <v>0</v>
      </c>
      <c r="O43" s="83">
        <f>IF(SUM(O12:O13)=0,0,SUM(O12:O13)/'Sm Comm Cust Fcst'!$S44)</f>
        <v>0</v>
      </c>
      <c r="P43" s="83">
        <f>IF(SUM(P12:P13)=0,0,SUM(P12:P13)/'Sm Comm Cust Fcst'!$S44)</f>
        <v>0</v>
      </c>
      <c r="Q43" s="289">
        <f>SUM(N43:P43)</f>
        <v>0</v>
      </c>
      <c r="R43" s="83">
        <f>IF(SUM(R12:R13)=0,0,SUM(R12:R13)/'Sm Comm Cust Fcst'!$T44)</f>
        <v>8513.5117606547683</v>
      </c>
      <c r="S43" s="83">
        <f>IF(SUM(S12:S13)=0,0,SUM(S12:S13)/'Sm Comm Cust Fcst'!$T44)</f>
        <v>554.03222646030622</v>
      </c>
      <c r="T43" s="83">
        <f>IF(SUM(T12:T13)=0,0,SUM(T12:T13)/'Sm Comm Cust Fcst'!$T44)</f>
        <v>268.03161526025883</v>
      </c>
      <c r="U43" s="289">
        <f>SUM(R43:T43)</f>
        <v>9335.5756023753329</v>
      </c>
    </row>
    <row r="44" spans="1:23" ht="13.5" thickBot="1">
      <c r="A44" s="244" t="s">
        <v>111</v>
      </c>
      <c r="B44" s="364">
        <f>IF(SUM(B14:B38)=0,0,SUM(B14:B38)/'Sm Comm Cust Fcst'!$P45)</f>
        <v>0</v>
      </c>
      <c r="C44" s="302">
        <f>IF(SUM(C14:C38)=0,0,SUM(C14:C38)/'Sm Comm Cust Fcst'!$P45)</f>
        <v>0</v>
      </c>
      <c r="D44" s="302">
        <f>IF(SUM(D14:D38)=0,0,SUM(D14:D38)/'Sm Comm Cust Fcst'!$P45)</f>
        <v>0</v>
      </c>
      <c r="E44" s="302">
        <f>SUM(B44:D44)</f>
        <v>0</v>
      </c>
      <c r="F44" s="364">
        <f>IF(SUM(F14:F38)=0,0,SUM(F14:F38)/'Sm Comm Cust Fcst'!$Q45)</f>
        <v>0</v>
      </c>
      <c r="G44" s="302">
        <f>IF(SUM(G14:G38)=0,0,SUM(G14:G38)/'Sm Comm Cust Fcst'!$Q45)</f>
        <v>0</v>
      </c>
      <c r="H44" s="302">
        <f>IF(SUM(H14:H38)=0,0,SUM(H14:H38)/'Sm Comm Cust Fcst'!$Q45)</f>
        <v>0</v>
      </c>
      <c r="I44" s="369">
        <f>SUM(F44:H44)</f>
        <v>0</v>
      </c>
      <c r="J44" s="364">
        <f>IF(SUM(J14:J38)=0,0,SUM(J14:J38)/'Sm Comm Cust Fcst'!$R45)</f>
        <v>0</v>
      </c>
      <c r="K44" s="302">
        <f>IF(SUM(K14:K38)=0,0,SUM(K14:K38)/'Sm Comm Cust Fcst'!$R45)</f>
        <v>0</v>
      </c>
      <c r="L44" s="302">
        <f>IF(SUM(L14:L38)=0,0,SUM(L14:L38)/'Sm Comm Cust Fcst'!$R45)</f>
        <v>0</v>
      </c>
      <c r="M44" s="369">
        <f>SUM(J44:L44)</f>
        <v>0</v>
      </c>
      <c r="N44" s="364">
        <f>IF(SUM(N14:N38)=0,0,SUM(N14:N38)/'Sm Comm Cust Fcst'!$S45)</f>
        <v>0</v>
      </c>
      <c r="O44" s="302">
        <f>IF(SUM(O14:O38)=0,0,SUM(O14:O38)/'Sm Comm Cust Fcst'!$S45)</f>
        <v>0</v>
      </c>
      <c r="P44" s="302">
        <f>IF(SUM(P14:P38)=0,0,SUM(P14:P38)/'Sm Comm Cust Fcst'!$S45)</f>
        <v>0</v>
      </c>
      <c r="Q44" s="369">
        <f>SUM(N44:P44)</f>
        <v>0</v>
      </c>
      <c r="R44" s="302">
        <f>IF(SUM(R14:R38)=0,0,SUM(R14:R38)/'Sm Comm Cust Fcst'!$T45)</f>
        <v>0</v>
      </c>
      <c r="S44" s="302">
        <f>IF(SUM(S14:S38)=0,0,SUM(S14:S38)/'Sm Comm Cust Fcst'!$T45)</f>
        <v>0</v>
      </c>
      <c r="T44" s="302">
        <f>IF(SUM(T14:T38)=0,0,SUM(T14:T38)/'Sm Comm Cust Fcst'!$T45)</f>
        <v>0</v>
      </c>
      <c r="U44" s="369">
        <f>SUM(R44:T44)</f>
        <v>0</v>
      </c>
    </row>
    <row r="45" spans="1:23" ht="13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3" ht="13">
      <c r="A46" s="261" t="s">
        <v>86</v>
      </c>
      <c r="B46" s="18"/>
      <c r="C46" s="18"/>
      <c r="D46" s="18"/>
      <c r="E46" s="82">
        <f>IF(SUM(B7:D38)=0,0,SUM(B7:D38)/'Sm Comm Cust Fcst'!$P41)-E40</f>
        <v>0</v>
      </c>
      <c r="F46" s="18"/>
      <c r="G46" s="18"/>
      <c r="H46" s="18"/>
      <c r="I46" s="82">
        <f>IF(SUM(F7:H38)=0,0,SUM(F7:H38)/'Sm Comm Cust Fcst'!$Q41)-I40</f>
        <v>0</v>
      </c>
      <c r="J46" s="18"/>
      <c r="K46" s="18"/>
      <c r="L46" s="18"/>
      <c r="M46" s="82">
        <f>IF(SUM(J7:L38)=0,0,SUM(J7:L38)/'Sm Comm Cust Fcst'!$R41)-M40</f>
        <v>0</v>
      </c>
      <c r="N46" s="18"/>
      <c r="O46" s="18"/>
      <c r="P46" s="18"/>
      <c r="Q46" s="82">
        <f>IF(SUM(N7:P38)=0,0,SUM(N7:P38)/'Sm Comm Cust Fcst'!$S41)-Q40</f>
        <v>0</v>
      </c>
      <c r="R46" s="18"/>
      <c r="S46" s="18"/>
      <c r="T46" s="18"/>
      <c r="U46" s="82">
        <f>IF(SUM(R7:T38)=0,0,SUM(R7:T38)/'Sm Comm Cust Fcst'!$T41)-U40</f>
        <v>0</v>
      </c>
    </row>
    <row r="47" spans="1:23" ht="13">
      <c r="E47" s="82">
        <f>IF(SUM(B7:D8)=0,0,SUM(B7:D8)/'Sm Comm Cust Fcst'!$P42)-E41</f>
        <v>0</v>
      </c>
      <c r="I47" s="82">
        <f>IF(SUM(F7:H8)=0,0,SUM(F7:H8)/'Sm Comm Cust Fcst'!$Q42)-I41</f>
        <v>0</v>
      </c>
      <c r="M47" s="82">
        <f>IF(SUM(J7:L8)=0,0,SUM(J7:L8)/'Sm Comm Cust Fcst'!$R42)-M41</f>
        <v>0</v>
      </c>
      <c r="Q47" s="82">
        <f>IF(SUM(N7:P8)=0,0,SUM(N7:P8)/'Sm Comm Cust Fcst'!$S42)-Q41</f>
        <v>0</v>
      </c>
      <c r="U47" s="82">
        <f>IF(SUM(R7:T8)=0,0,SUM(R7:T8)/'Sm Comm Cust Fcst'!$T42)-U41</f>
        <v>0</v>
      </c>
    </row>
    <row r="48" spans="1:23" ht="13">
      <c r="E48" s="82">
        <f>IF(SUM(B9:D11)=0,0,SUM(B9:D11)/'Sm Comm Cust Fcst'!$P43)-E42</f>
        <v>0</v>
      </c>
      <c r="I48" s="82">
        <f>IF(SUM(F9:H11)=0,0,SUM(F9:H11)/'Sm Comm Cust Fcst'!$Q43)-I42</f>
        <v>0</v>
      </c>
      <c r="M48" s="82">
        <f>IF(SUM(J9:L11)=0,0,SUM(J9:L11)/'Sm Comm Cust Fcst'!$R43)-M42</f>
        <v>0</v>
      </c>
      <c r="Q48" s="82">
        <f>IF(SUM(N9:P11)=0,0,SUM(N9:P11)/'Sm Comm Cust Fcst'!$S43)-Q42</f>
        <v>0</v>
      </c>
      <c r="U48" s="82">
        <f>IF(SUM(R9:T11)=0,0,SUM(R9:T11)/'Sm Comm Cust Fcst'!$T43)-U42</f>
        <v>0</v>
      </c>
    </row>
    <row r="49" spans="1:21" ht="13">
      <c r="E49" s="82">
        <f>IF(SUM(B12:D13)=0,0,SUM(B12:D13)/'Sm Comm Cust Fcst'!$P44)-E43</f>
        <v>0</v>
      </c>
      <c r="I49" s="82">
        <f>IF(SUM(F12:H13)=0,0,SUM(F12:H13)/'Sm Comm Cust Fcst'!$Q44)-I43</f>
        <v>0</v>
      </c>
      <c r="M49" s="82">
        <f>IF(SUM(J12:L13)=0,0,SUM(J12:L13)/'Sm Comm Cust Fcst'!$R44)-M43</f>
        <v>0</v>
      </c>
      <c r="Q49" s="82">
        <f>IF(SUM(N12:P13)=0,0,SUM(N12:P13)/'Sm Comm Cust Fcst'!$S44)-Q43</f>
        <v>0</v>
      </c>
      <c r="U49" s="82">
        <f>IF(SUM(R12:T13)=0,0,SUM(R12:T13)/'Sm Comm Cust Fcst'!$T44)-U43</f>
        <v>0</v>
      </c>
    </row>
    <row r="50" spans="1:21" ht="13">
      <c r="E50" s="82">
        <f>IF(SUM(B14:D38)=0,0,SUM(B14:D38)/'Sm Comm Cust Fcst'!$P45)-E44</f>
        <v>0</v>
      </c>
      <c r="I50" s="82">
        <f>IF(SUM(F14:H38)=0,0,SUM(F14:H38)/'Sm Comm Cust Fcst'!$Q45)-I44</f>
        <v>0</v>
      </c>
      <c r="M50" s="82">
        <f>IF(SUM(J14:L38)=0,0,SUM(J14:L38)/'Sm Comm Cust Fcst'!$R45)-M44</f>
        <v>0</v>
      </c>
      <c r="Q50" s="82">
        <f>IF(SUM(N14:P38)=0,0,SUM(N14:P38)/'Sm Comm Cust Fcst'!$S45)-Q44</f>
        <v>0</v>
      </c>
      <c r="U50" s="82">
        <f>IF(SUM(R14:T38)=0,0,SUM(R14:T38)/'Sm Comm Cust Fcst'!$T45)-U44</f>
        <v>0</v>
      </c>
    </row>
    <row r="53" spans="1:21">
      <c r="A53" s="19"/>
    </row>
    <row r="65" spans="1:1">
      <c r="A65" s="19"/>
    </row>
  </sheetData>
  <mergeCells count="7">
    <mergeCell ref="A1:Q1"/>
    <mergeCell ref="B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4">
    <tabColor rgb="FF00642D"/>
    <pageSetUpPr fitToPage="1"/>
  </sheetPr>
  <dimension ref="A1:P59"/>
  <sheetViews>
    <sheetView zoomScaleNormal="100" workbookViewId="0">
      <selection activeCell="F33" sqref="F33"/>
    </sheetView>
  </sheetViews>
  <sheetFormatPr defaultRowHeight="12.5"/>
  <cols>
    <col min="1" max="1" width="41.1796875" customWidth="1"/>
    <col min="2" max="6" width="11.1796875" customWidth="1"/>
    <col min="12" max="12" width="9.1796875" bestFit="1" customWidth="1"/>
    <col min="13" max="13" width="9.81640625" bestFit="1" customWidth="1"/>
    <col min="14" max="14" width="10.81640625" bestFit="1" customWidth="1"/>
    <col min="15" max="16" width="10.1796875" bestFit="1" customWidth="1"/>
  </cols>
  <sheetData>
    <row r="1" spans="1:16" ht="18.5" thickBot="1">
      <c r="A1" s="735" t="s">
        <v>442</v>
      </c>
      <c r="B1" s="754"/>
      <c r="C1" s="754"/>
      <c r="D1" s="754"/>
      <c r="E1" s="754"/>
      <c r="F1" s="754"/>
    </row>
    <row r="2" spans="1:16" ht="13.5" thickBot="1">
      <c r="A2" s="103"/>
      <c r="B2" s="736" t="s">
        <v>443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7" t="s">
        <v>1</v>
      </c>
      <c r="H3" s="737"/>
      <c r="I3" s="737"/>
      <c r="J3" s="737"/>
      <c r="K3" s="738"/>
      <c r="L3" s="736" t="s">
        <v>444</v>
      </c>
      <c r="M3" s="737"/>
      <c r="N3" s="737"/>
      <c r="O3" s="737"/>
      <c r="P3" s="738"/>
    </row>
    <row r="4" spans="1:16" ht="13.5" thickBot="1">
      <c r="A4" s="77" t="s">
        <v>47</v>
      </c>
      <c r="B4" s="448" t="s">
        <v>87</v>
      </c>
      <c r="C4" s="449" t="s">
        <v>109</v>
      </c>
      <c r="D4" s="449" t="s">
        <v>110</v>
      </c>
      <c r="E4" s="449" t="s">
        <v>111</v>
      </c>
      <c r="F4" s="450" t="s">
        <v>2</v>
      </c>
      <c r="G4" s="528" t="s">
        <v>87</v>
      </c>
      <c r="H4" s="526" t="s">
        <v>109</v>
      </c>
      <c r="I4" s="526" t="s">
        <v>110</v>
      </c>
      <c r="J4" s="526" t="s">
        <v>111</v>
      </c>
      <c r="K4" s="527" t="s">
        <v>129</v>
      </c>
      <c r="L4" s="528" t="s">
        <v>87</v>
      </c>
      <c r="M4" s="526" t="s">
        <v>109</v>
      </c>
      <c r="N4" s="526" t="s">
        <v>110</v>
      </c>
      <c r="O4" s="526" t="s">
        <v>111</v>
      </c>
      <c r="P4" s="527" t="s">
        <v>2</v>
      </c>
    </row>
    <row r="5" spans="1:16" ht="13">
      <c r="A5" s="453"/>
      <c r="B5" s="35"/>
      <c r="C5" s="146"/>
      <c r="D5" s="146"/>
      <c r="E5" s="146"/>
      <c r="F5" s="281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 ht="13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 ht="13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 ht="13">
      <c r="A8" s="375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 ht="13">
      <c r="A9" s="117" t="s">
        <v>53</v>
      </c>
      <c r="B9" s="111"/>
      <c r="C9" s="33"/>
      <c r="D9" s="33">
        <f>'Sch TOU-M TSM'!$R$43</f>
        <v>8513.5117606547683</v>
      </c>
      <c r="E9" s="33"/>
      <c r="F9" s="34">
        <f>'Sch TOU-M TSM'!$R$40</f>
        <v>8513.5117606547683</v>
      </c>
      <c r="G9" s="111"/>
      <c r="H9" s="33"/>
      <c r="I9" s="33"/>
      <c r="J9" s="33"/>
      <c r="K9" s="34"/>
      <c r="L9" s="111"/>
      <c r="M9" s="33"/>
      <c r="N9" s="33">
        <f>'Sch TOU-M TSM'!$R$43</f>
        <v>8513.5117606547683</v>
      </c>
      <c r="O9" s="33"/>
      <c r="P9" s="34">
        <f>'Sch TOU-M TSM'!$R$40</f>
        <v>8513.5117606547683</v>
      </c>
    </row>
    <row r="10" spans="1:16" ht="13">
      <c r="A10" s="117" t="s">
        <v>51</v>
      </c>
      <c r="B10" s="111"/>
      <c r="C10" s="33"/>
      <c r="D10" s="33">
        <f>'Sch TOU-M TSM'!$S$43</f>
        <v>554.03222646030622</v>
      </c>
      <c r="E10" s="33"/>
      <c r="F10" s="34">
        <f>'Sch TOU-M TSM'!$S$40</f>
        <v>554.03222646030622</v>
      </c>
      <c r="G10" s="111"/>
      <c r="H10" s="33"/>
      <c r="I10" s="33"/>
      <c r="J10" s="33"/>
      <c r="K10" s="34"/>
      <c r="L10" s="111"/>
      <c r="M10" s="33"/>
      <c r="N10" s="33">
        <f>'Sch TOU-M TSM'!$S$43</f>
        <v>554.03222646030622</v>
      </c>
      <c r="O10" s="33"/>
      <c r="P10" s="34">
        <f>'Sch TOU-M TSM'!$S$40</f>
        <v>554.03222646030622</v>
      </c>
    </row>
    <row r="11" spans="1:16" ht="13">
      <c r="A11" s="117" t="s">
        <v>52</v>
      </c>
      <c r="B11" s="111"/>
      <c r="C11" s="33"/>
      <c r="D11" s="33">
        <f>'Sch TOU-M TSM'!$T$43</f>
        <v>268.03161526025883</v>
      </c>
      <c r="E11" s="33"/>
      <c r="F11" s="34">
        <f>'Sch TOU-M TSM'!$T$40</f>
        <v>268.03161526025883</v>
      </c>
      <c r="G11" s="111"/>
      <c r="H11" s="33"/>
      <c r="I11" s="33"/>
      <c r="J11" s="33"/>
      <c r="K11" s="34"/>
      <c r="L11" s="111"/>
      <c r="M11" s="33"/>
      <c r="N11" s="33">
        <f>'Sch TOU-M TSM'!$T$43</f>
        <v>268.03161526025883</v>
      </c>
      <c r="O11" s="33"/>
      <c r="P11" s="34">
        <f>'Sch TOU-M TSM'!$T$40</f>
        <v>268.03161526025883</v>
      </c>
    </row>
    <row r="12" spans="1:16" ht="13">
      <c r="A12" s="376"/>
      <c r="B12" s="38"/>
      <c r="C12" s="68"/>
      <c r="D12" s="68"/>
      <c r="E12" s="68"/>
      <c r="F12" s="283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 ht="13">
      <c r="A13" s="117" t="s">
        <v>35</v>
      </c>
      <c r="B13" s="114"/>
      <c r="C13" s="30"/>
      <c r="D13" s="30">
        <f>SUM(D9:D11)</f>
        <v>9335.5756023753329</v>
      </c>
      <c r="E13" s="30"/>
      <c r="F13" s="40">
        <f>SUM(F9:F11)</f>
        <v>9335.5756023753329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9335.5756023753329</v>
      </c>
      <c r="O13" s="30"/>
      <c r="P13" s="40">
        <f t="shared" ref="P13" si="1">SUM(P9:P11)</f>
        <v>9335.5756023753329</v>
      </c>
    </row>
    <row r="14" spans="1:16" ht="13">
      <c r="A14" s="376"/>
      <c r="B14" s="38"/>
      <c r="C14" s="68"/>
      <c r="D14" s="68"/>
      <c r="E14" s="68"/>
      <c r="F14" s="283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 ht="13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 ht="13">
      <c r="A16" s="377">
        <f>Inputs!C3</f>
        <v>2.9094935671404847E-2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 ht="13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 ht="13">
      <c r="A18" s="47">
        <f>Inputs!C4</f>
        <v>1.99475E-2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 ht="13">
      <c r="A19" s="377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 ht="13">
      <c r="A20" s="378" t="s">
        <v>92</v>
      </c>
      <c r="B20" s="114"/>
      <c r="C20" s="30"/>
      <c r="D20" s="30">
        <f t="shared" ref="D20:F20" si="2">(D9*(1+$A$16)*(1+$A$18))</f>
        <v>8935.9761108006642</v>
      </c>
      <c r="E20" s="30"/>
      <c r="F20" s="40">
        <f t="shared" si="2"/>
        <v>8935.9761108006642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8935.9761108006642</v>
      </c>
      <c r="O20" s="30"/>
      <c r="P20" s="40">
        <f t="shared" si="3"/>
        <v>8935.9761108006642</v>
      </c>
    </row>
    <row r="21" spans="1:16" ht="13">
      <c r="A21" s="378" t="s">
        <v>51</v>
      </c>
      <c r="B21" s="114"/>
      <c r="C21" s="30"/>
      <c r="D21" s="30">
        <f t="shared" ref="D21:F22" si="4">(D10*(1+$A$16)*(1+$A$18))</f>
        <v>581.52486065071651</v>
      </c>
      <c r="E21" s="30"/>
      <c r="F21" s="40">
        <f t="shared" si="4"/>
        <v>581.52486065071651</v>
      </c>
      <c r="G21" s="114"/>
      <c r="H21" s="30"/>
      <c r="I21" s="30"/>
      <c r="J21" s="30"/>
      <c r="K21" s="40"/>
      <c r="L21" s="114"/>
      <c r="M21" s="30"/>
      <c r="N21" s="30">
        <f t="shared" ref="N21:P21" si="5">(N10*(1+$A$16)*(1+$A$18))</f>
        <v>581.52486065071651</v>
      </c>
      <c r="O21" s="30"/>
      <c r="P21" s="40">
        <f t="shared" si="5"/>
        <v>581.52486065071651</v>
      </c>
    </row>
    <row r="22" spans="1:16" ht="13">
      <c r="A22" s="378" t="s">
        <v>52</v>
      </c>
      <c r="B22" s="114"/>
      <c r="C22" s="30"/>
      <c r="D22" s="30">
        <f t="shared" si="4"/>
        <v>281.33209634760408</v>
      </c>
      <c r="E22" s="30"/>
      <c r="F22" s="40">
        <f t="shared" si="4"/>
        <v>281.33209634760408</v>
      </c>
      <c r="G22" s="114"/>
      <c r="H22" s="30"/>
      <c r="I22" s="30"/>
      <c r="J22" s="30"/>
      <c r="K22" s="40"/>
      <c r="L22" s="114"/>
      <c r="M22" s="30"/>
      <c r="N22" s="30">
        <f t="shared" ref="N22:P22" si="6">(N11*(1+$A$16)*(1+$A$18))</f>
        <v>281.33209634760408</v>
      </c>
      <c r="O22" s="30"/>
      <c r="P22" s="40">
        <f t="shared" si="6"/>
        <v>281.33209634760408</v>
      </c>
    </row>
    <row r="23" spans="1:16" ht="13">
      <c r="A23" s="377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 ht="13">
      <c r="A24" s="117" t="s">
        <v>35</v>
      </c>
      <c r="B24" s="114"/>
      <c r="C24" s="30"/>
      <c r="D24" s="30">
        <f>SUM(D20:D22)</f>
        <v>9798.8330677989834</v>
      </c>
      <c r="E24" s="30"/>
      <c r="F24" s="40">
        <f>SUM(F20:F22)</f>
        <v>9798.8330677989834</v>
      </c>
      <c r="G24" s="114"/>
      <c r="H24" s="30"/>
      <c r="I24" s="30"/>
      <c r="J24" s="30"/>
      <c r="K24" s="40"/>
      <c r="L24" s="114"/>
      <c r="M24" s="30"/>
      <c r="N24" s="30">
        <f t="shared" ref="N24" si="7">SUM(N20:N22)</f>
        <v>9798.8330677989834</v>
      </c>
      <c r="O24" s="30"/>
      <c r="P24" s="40">
        <f t="shared" ref="P24" si="8">SUM(P20:P22)</f>
        <v>9798.8330677989834</v>
      </c>
    </row>
    <row r="25" spans="1:16" ht="13">
      <c r="A25" s="376"/>
      <c r="B25" s="38"/>
      <c r="C25" s="68"/>
      <c r="D25" s="68"/>
      <c r="E25" s="68"/>
      <c r="F25" s="283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 ht="13">
      <c r="A26" s="378" t="str">
        <f>'Resid TSM Sum by Rate Schedule'!A25</f>
        <v>Annualized Transformer Cost at 8.05%</v>
      </c>
      <c r="B26" s="119"/>
      <c r="C26" s="73"/>
      <c r="D26" s="73">
        <f>D20*Inputs!$C$5</f>
        <v>719.15540582880919</v>
      </c>
      <c r="E26" s="73"/>
      <c r="F26" s="75">
        <f>F20*Inputs!$C$5</f>
        <v>719.15540582880919</v>
      </c>
      <c r="G26" s="119"/>
      <c r="H26" s="73"/>
      <c r="I26" s="73"/>
      <c r="J26" s="73"/>
      <c r="K26" s="75"/>
      <c r="L26" s="119"/>
      <c r="M26" s="73"/>
      <c r="N26" s="73">
        <f>N20*Inputs!$C$5</f>
        <v>719.15540582880919</v>
      </c>
      <c r="O26" s="73"/>
      <c r="P26" s="75">
        <f>P20*Inputs!$C$5</f>
        <v>719.15540582880919</v>
      </c>
    </row>
    <row r="27" spans="1:16" ht="13">
      <c r="A27" s="378" t="str">
        <f>'Resid TSM Sum by Rate Schedule'!A26</f>
        <v>Annualized Services Cost at 7.08%</v>
      </c>
      <c r="B27" s="119"/>
      <c r="C27" s="73"/>
      <c r="D27" s="73">
        <f>D21*Inputs!$C$6</f>
        <v>41.157456870163358</v>
      </c>
      <c r="E27" s="73"/>
      <c r="F27" s="75">
        <f>F21*Inputs!$C$6</f>
        <v>41.157456870163358</v>
      </c>
      <c r="G27" s="119"/>
      <c r="H27" s="73"/>
      <c r="I27" s="73"/>
      <c r="J27" s="73"/>
      <c r="K27" s="75"/>
      <c r="L27" s="119"/>
      <c r="M27" s="73"/>
      <c r="N27" s="73">
        <f>N21*Inputs!$C$6</f>
        <v>41.157456870163358</v>
      </c>
      <c r="O27" s="73"/>
      <c r="P27" s="75">
        <f>P21*Inputs!$C$6</f>
        <v>41.157456870163358</v>
      </c>
    </row>
    <row r="28" spans="1:16" ht="16">
      <c r="A28" s="378" t="str">
        <f>'Resid TSM Sum by Rate Schedule'!A27</f>
        <v>Annualized Meter Cost at 10.78%</v>
      </c>
      <c r="B28" s="459"/>
      <c r="C28" s="458"/>
      <c r="D28" s="458">
        <f>D22*Inputs!$C$7</f>
        <v>30.318161110585947</v>
      </c>
      <c r="E28" s="458"/>
      <c r="F28" s="457">
        <f>F22*Inputs!$C$7</f>
        <v>30.318161110585947</v>
      </c>
      <c r="G28" s="459"/>
      <c r="H28" s="458"/>
      <c r="I28" s="458"/>
      <c r="J28" s="458"/>
      <c r="K28" s="457"/>
      <c r="L28" s="459"/>
      <c r="M28" s="458"/>
      <c r="N28" s="458">
        <f>N22*Inputs!$C$7</f>
        <v>30.318161110585947</v>
      </c>
      <c r="O28" s="458"/>
      <c r="P28" s="457">
        <f>P22*Inputs!$C$7</f>
        <v>30.318161110585947</v>
      </c>
    </row>
    <row r="29" spans="1:16" ht="13">
      <c r="A29" s="453" t="s">
        <v>275</v>
      </c>
      <c r="B29" s="119"/>
      <c r="C29" s="73"/>
      <c r="D29" s="73">
        <f>SUM(D26:D28)</f>
        <v>790.63102380955854</v>
      </c>
      <c r="E29" s="73"/>
      <c r="F29" s="75">
        <f>SUM(F26:F28)</f>
        <v>790.63102380955854</v>
      </c>
      <c r="G29" s="119"/>
      <c r="H29" s="73"/>
      <c r="I29" s="73"/>
      <c r="J29" s="73"/>
      <c r="K29" s="75"/>
      <c r="L29" s="119"/>
      <c r="M29" s="73"/>
      <c r="N29" s="73">
        <f t="shared" ref="N29" si="9">SUM(N26:N28)</f>
        <v>790.63102380955854</v>
      </c>
      <c r="O29" s="73"/>
      <c r="P29" s="75">
        <f t="shared" ref="P29" si="10">SUM(P26:P28)</f>
        <v>790.63102380955854</v>
      </c>
    </row>
    <row r="30" spans="1:16" ht="13">
      <c r="A30" s="377"/>
      <c r="B30" s="47"/>
      <c r="C30" s="69"/>
      <c r="D30" s="69"/>
      <c r="E30" s="69"/>
      <c r="F30" s="284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 ht="13">
      <c r="A31" s="117" t="s">
        <v>50</v>
      </c>
      <c r="B31" s="148"/>
      <c r="C31" s="70"/>
      <c r="D31" s="70">
        <f>'Distribution O&amp;M Allocations'!$P$20</f>
        <v>101.3876519289561</v>
      </c>
      <c r="E31" s="70"/>
      <c r="F31" s="282">
        <f>'Distribution O&amp;M Allocations'!$P$20</f>
        <v>101.3876519289561</v>
      </c>
      <c r="G31" s="148"/>
      <c r="H31" s="70"/>
      <c r="I31" s="70"/>
      <c r="J31" s="70"/>
      <c r="K31" s="282"/>
      <c r="L31" s="148"/>
      <c r="M31" s="70"/>
      <c r="N31" s="70">
        <f t="shared" ref="N31:P31" si="11">D31</f>
        <v>101.3876519289561</v>
      </c>
      <c r="O31" s="70"/>
      <c r="P31" s="282">
        <f t="shared" si="11"/>
        <v>101.3876519289561</v>
      </c>
    </row>
    <row r="32" spans="1:16" ht="13">
      <c r="A32" s="118"/>
      <c r="B32" s="11"/>
      <c r="C32" s="12"/>
      <c r="D32" s="12"/>
      <c r="E32" s="12"/>
      <c r="F32" s="76"/>
      <c r="G32" s="11"/>
      <c r="H32" s="12"/>
      <c r="I32" s="12"/>
      <c r="J32" s="12"/>
      <c r="K32" s="76"/>
      <c r="L32" s="148"/>
      <c r="M32" s="70"/>
      <c r="N32" s="70"/>
      <c r="O32" s="70"/>
      <c r="P32" s="282"/>
    </row>
    <row r="33" spans="1:16" ht="13">
      <c r="A33" s="117" t="s">
        <v>57</v>
      </c>
      <c r="B33" s="288"/>
      <c r="C33" s="83"/>
      <c r="D33" s="715">
        <v>52.536506967829744</v>
      </c>
      <c r="E33" s="715"/>
      <c r="F33" s="716">
        <v>52.536506967829744</v>
      </c>
      <c r="G33" s="288"/>
      <c r="H33" s="83"/>
      <c r="I33" s="83"/>
      <c r="J33" s="83"/>
      <c r="K33" s="289"/>
      <c r="L33" s="148"/>
      <c r="M33" s="70"/>
      <c r="N33" s="70">
        <f t="shared" ref="N33" si="12">D33</f>
        <v>52.536506967829744</v>
      </c>
      <c r="O33" s="70"/>
      <c r="P33" s="282">
        <f t="shared" ref="P33" si="13">F33</f>
        <v>52.536506967829744</v>
      </c>
    </row>
    <row r="34" spans="1:16">
      <c r="A34" s="118"/>
      <c r="B34" s="11"/>
      <c r="C34" s="12"/>
      <c r="D34" s="12"/>
      <c r="E34" s="12"/>
      <c r="F34" s="76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54" t="s">
        <v>83</v>
      </c>
      <c r="B35" s="285"/>
      <c r="C35" s="286"/>
      <c r="D35" s="286">
        <f>D29+D31+D33</f>
        <v>944.55518270634434</v>
      </c>
      <c r="E35" s="286"/>
      <c r="F35" s="287">
        <f>F29+F31+F33</f>
        <v>944.55518270634434</v>
      </c>
      <c r="G35" s="285"/>
      <c r="H35" s="286"/>
      <c r="I35" s="286"/>
      <c r="J35" s="286"/>
      <c r="K35" s="287"/>
      <c r="L35" s="285"/>
      <c r="M35" s="286"/>
      <c r="N35" s="286">
        <f t="shared" ref="N35" si="14">N29+N31+N33</f>
        <v>944.55518270634434</v>
      </c>
      <c r="O35" s="286"/>
      <c r="P35" s="287">
        <f t="shared" ref="P35" si="15">P29+P31+P33</f>
        <v>944.55518270634434</v>
      </c>
    </row>
    <row r="36" spans="1:16">
      <c r="A36" s="85"/>
      <c r="B36" s="85"/>
      <c r="C36" s="85"/>
      <c r="D36" s="85"/>
      <c r="E36" s="85"/>
      <c r="F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3">
    <tabColor rgb="FF00642D"/>
    <pageSetUpPr fitToPage="1"/>
  </sheetPr>
  <dimension ref="A1:P61"/>
  <sheetViews>
    <sheetView zoomScaleNormal="100" workbookViewId="0">
      <selection activeCell="T24" sqref="T24"/>
    </sheetView>
  </sheetViews>
  <sheetFormatPr defaultRowHeight="12.5"/>
  <cols>
    <col min="1" max="1" width="41.1796875" customWidth="1"/>
    <col min="2" max="6" width="11.1796875" customWidth="1"/>
    <col min="9" max="9" width="11.26953125" bestFit="1" customWidth="1"/>
    <col min="10" max="10" width="7.54296875" bestFit="1" customWidth="1"/>
    <col min="12" max="12" width="9.1796875" bestFit="1" customWidth="1"/>
    <col min="13" max="13" width="9.81640625" bestFit="1" customWidth="1"/>
    <col min="14" max="14" width="11.26953125" bestFit="1" customWidth="1"/>
    <col min="15" max="15" width="10.1796875" bestFit="1" customWidth="1"/>
    <col min="16" max="16" width="10.26953125" bestFit="1" customWidth="1"/>
  </cols>
  <sheetData>
    <row r="1" spans="1:16" ht="18.5" thickBot="1">
      <c r="A1" s="735" t="s">
        <v>445</v>
      </c>
      <c r="B1" s="754"/>
      <c r="C1" s="754"/>
      <c r="D1" s="754"/>
      <c r="E1" s="754"/>
      <c r="F1" s="754"/>
    </row>
    <row r="2" spans="1:16" ht="13.5" thickBot="1">
      <c r="A2" s="103"/>
      <c r="B2" s="736" t="s">
        <v>443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7" t="s">
        <v>1</v>
      </c>
      <c r="H3" s="737"/>
      <c r="I3" s="737"/>
      <c r="J3" s="737"/>
      <c r="K3" s="738"/>
      <c r="L3" s="736" t="s">
        <v>444</v>
      </c>
      <c r="M3" s="737"/>
      <c r="N3" s="737"/>
      <c r="O3" s="737"/>
      <c r="P3" s="738"/>
    </row>
    <row r="4" spans="1:16" ht="13.5" thickBot="1">
      <c r="A4" s="77" t="s">
        <v>47</v>
      </c>
      <c r="B4" s="448" t="s">
        <v>87</v>
      </c>
      <c r="C4" s="449" t="s">
        <v>109</v>
      </c>
      <c r="D4" s="449" t="s">
        <v>110</v>
      </c>
      <c r="E4" s="449" t="s">
        <v>111</v>
      </c>
      <c r="F4" s="450" t="s">
        <v>2</v>
      </c>
      <c r="G4" s="528" t="s">
        <v>87</v>
      </c>
      <c r="H4" s="526" t="s">
        <v>109</v>
      </c>
      <c r="I4" s="526" t="s">
        <v>110</v>
      </c>
      <c r="J4" s="526" t="s">
        <v>111</v>
      </c>
      <c r="K4" s="527" t="s">
        <v>129</v>
      </c>
      <c r="L4" s="528" t="s">
        <v>87</v>
      </c>
      <c r="M4" s="526" t="s">
        <v>109</v>
      </c>
      <c r="N4" s="526" t="s">
        <v>110</v>
      </c>
      <c r="O4" s="526" t="s">
        <v>111</v>
      </c>
      <c r="P4" s="527" t="s">
        <v>2</v>
      </c>
    </row>
    <row r="5" spans="1:16" ht="13">
      <c r="A5" s="453"/>
      <c r="B5" s="35"/>
      <c r="C5" s="146"/>
      <c r="D5" s="146"/>
      <c r="E5" s="146"/>
      <c r="F5" s="281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 ht="13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 ht="13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 ht="13">
      <c r="A8" s="375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 ht="13">
      <c r="A9" s="117" t="s">
        <v>53</v>
      </c>
      <c r="B9" s="111"/>
      <c r="C9" s="33"/>
      <c r="D9" s="33">
        <f>'Sch TOU-M TSM Summary'!D9*Inputs!$C$12</f>
        <v>9238.3867508160038</v>
      </c>
      <c r="E9" s="33"/>
      <c r="F9" s="34">
        <f>'Sch TOU-M TSM Summary'!F9*Inputs!$C$12</f>
        <v>9238.3867508160038</v>
      </c>
      <c r="G9" s="111"/>
      <c r="H9" s="33"/>
      <c r="I9" s="33"/>
      <c r="J9" s="33"/>
      <c r="K9" s="34"/>
      <c r="L9" s="111"/>
      <c r="M9" s="33"/>
      <c r="N9" s="33">
        <f>'Sch TOU-M TSM Summary'!N9*Inputs!$C$12</f>
        <v>9238.3867508160038</v>
      </c>
      <c r="O9" s="33"/>
      <c r="P9" s="34">
        <f>'Sch TOU-M TSM Summary'!P9*Inputs!$C$12</f>
        <v>9238.3867508160038</v>
      </c>
    </row>
    <row r="10" spans="1:16" ht="13">
      <c r="A10" s="117" t="s">
        <v>51</v>
      </c>
      <c r="B10" s="111"/>
      <c r="C10" s="33"/>
      <c r="D10" s="33">
        <f>'Sch TOU-M TSM Summary'!D10*Inputs!$C$12</f>
        <v>601.20478180467501</v>
      </c>
      <c r="E10" s="33"/>
      <c r="F10" s="34">
        <f>'Sch TOU-M TSM Summary'!F10*Inputs!$C$12</f>
        <v>601.20478180467501</v>
      </c>
      <c r="G10" s="111"/>
      <c r="H10" s="33"/>
      <c r="I10" s="33"/>
      <c r="J10" s="33"/>
      <c r="K10" s="34"/>
      <c r="L10" s="111"/>
      <c r="M10" s="33"/>
      <c r="N10" s="33">
        <f>'Sch TOU-M TSM Summary'!N10*Inputs!$C$12</f>
        <v>601.20478180467501</v>
      </c>
      <c r="O10" s="33"/>
      <c r="P10" s="34">
        <f>'Sch TOU-M TSM Summary'!P10*Inputs!$C$12</f>
        <v>601.20478180467501</v>
      </c>
    </row>
    <row r="11" spans="1:16" ht="13">
      <c r="A11" s="117" t="s">
        <v>52</v>
      </c>
      <c r="B11" s="111"/>
      <c r="C11" s="33"/>
      <c r="D11" s="33">
        <f>'Sch TOU-M TSM Summary'!D11*Inputs!$C$12</f>
        <v>290.85291626234232</v>
      </c>
      <c r="E11" s="33"/>
      <c r="F11" s="34">
        <f>'Sch TOU-M TSM Summary'!F11*Inputs!$C$12</f>
        <v>290.85291626234232</v>
      </c>
      <c r="G11" s="111"/>
      <c r="H11" s="33"/>
      <c r="I11" s="33"/>
      <c r="J11" s="33"/>
      <c r="K11" s="34"/>
      <c r="L11" s="111"/>
      <c r="M11" s="33"/>
      <c r="N11" s="33">
        <f>'Sch TOU-M TSM Summary'!N11*Inputs!$C$12</f>
        <v>290.85291626234232</v>
      </c>
      <c r="O11" s="33"/>
      <c r="P11" s="34">
        <f>'Sch TOU-M TSM Summary'!P11*Inputs!$C$12</f>
        <v>290.85291626234232</v>
      </c>
    </row>
    <row r="12" spans="1:16" ht="13">
      <c r="A12" s="376"/>
      <c r="B12" s="38"/>
      <c r="C12" s="68"/>
      <c r="D12" s="68"/>
      <c r="E12" s="68"/>
      <c r="F12" s="283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 ht="13">
      <c r="A13" s="117" t="s">
        <v>35</v>
      </c>
      <c r="B13" s="114"/>
      <c r="C13" s="30"/>
      <c r="D13" s="30">
        <f>SUM(D9:D11)</f>
        <v>10130.444448883021</v>
      </c>
      <c r="E13" s="30"/>
      <c r="F13" s="40">
        <f>SUM(F9:F11)</f>
        <v>10130.444448883021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10130.444448883021</v>
      </c>
      <c r="O13" s="30"/>
      <c r="P13" s="40">
        <f t="shared" ref="P13" si="1">SUM(P9:P11)</f>
        <v>10130.444448883021</v>
      </c>
    </row>
    <row r="14" spans="1:16" ht="13">
      <c r="A14" s="376"/>
      <c r="B14" s="38"/>
      <c r="C14" s="68"/>
      <c r="D14" s="68"/>
      <c r="E14" s="68"/>
      <c r="F14" s="283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 ht="13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 ht="13">
      <c r="A16" s="377">
        <f>Inputs!C3</f>
        <v>2.9094935671404847E-2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 ht="13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 ht="13">
      <c r="A18" s="47">
        <f>Inputs!C4</f>
        <v>1.99475E-2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 ht="13">
      <c r="A19" s="377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 ht="13">
      <c r="A20" s="378" t="s">
        <v>92</v>
      </c>
      <c r="B20" s="114"/>
      <c r="C20" s="30"/>
      <c r="D20" s="30">
        <f t="shared" ref="D20:F20" si="2">(D9*(1+$A$16)*(1+$A$18))</f>
        <v>9696.8214326258258</v>
      </c>
      <c r="E20" s="30"/>
      <c r="F20" s="30">
        <f t="shared" si="2"/>
        <v>9696.8214326258258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9696.8214326258258</v>
      </c>
      <c r="O20" s="30"/>
      <c r="P20" s="40">
        <f t="shared" si="3"/>
        <v>9696.8214326258258</v>
      </c>
    </row>
    <row r="21" spans="1:16" ht="13">
      <c r="A21" s="378" t="s">
        <v>51</v>
      </c>
      <c r="B21" s="114"/>
      <c r="C21" s="30"/>
      <c r="D21" s="30">
        <f t="shared" ref="D21:F22" si="4">(D10*(1+$A$16)*(1+$A$18))</f>
        <v>631.03825059995199</v>
      </c>
      <c r="E21" s="30"/>
      <c r="F21" s="30">
        <f t="shared" si="4"/>
        <v>631.03825059995199</v>
      </c>
      <c r="G21" s="114"/>
      <c r="H21" s="30"/>
      <c r="I21" s="30"/>
      <c r="J21" s="30"/>
      <c r="K21" s="40"/>
      <c r="L21" s="114"/>
      <c r="M21" s="30"/>
      <c r="N21" s="30">
        <f t="shared" ref="N21:P22" si="5">(N10*(1+$A$16)*(1+$A$18))</f>
        <v>631.03825059995199</v>
      </c>
      <c r="O21" s="30"/>
      <c r="P21" s="40">
        <f t="shared" si="5"/>
        <v>631.03825059995199</v>
      </c>
    </row>
    <row r="22" spans="1:16" ht="13">
      <c r="A22" s="378" t="s">
        <v>52</v>
      </c>
      <c r="B22" s="114"/>
      <c r="C22" s="30"/>
      <c r="D22" s="30">
        <f t="shared" si="4"/>
        <v>305.2858543625369</v>
      </c>
      <c r="E22" s="30"/>
      <c r="F22" s="30">
        <f t="shared" si="4"/>
        <v>305.2858543625369</v>
      </c>
      <c r="G22" s="114"/>
      <c r="H22" s="30"/>
      <c r="I22" s="30"/>
      <c r="J22" s="30"/>
      <c r="K22" s="40"/>
      <c r="L22" s="114"/>
      <c r="M22" s="30"/>
      <c r="N22" s="30">
        <f t="shared" si="5"/>
        <v>305.2858543625369</v>
      </c>
      <c r="O22" s="30"/>
      <c r="P22" s="40">
        <f t="shared" si="5"/>
        <v>305.2858543625369</v>
      </c>
    </row>
    <row r="23" spans="1:16" ht="13">
      <c r="A23" s="377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 ht="13">
      <c r="A24" s="117" t="s">
        <v>35</v>
      </c>
      <c r="B24" s="114"/>
      <c r="C24" s="30"/>
      <c r="D24" s="30">
        <f>SUM(D20:D22)</f>
        <v>10633.145537588314</v>
      </c>
      <c r="E24" s="30"/>
      <c r="F24" s="40">
        <f>SUM(F20:F22)</f>
        <v>10633.145537588314</v>
      </c>
      <c r="G24" s="114"/>
      <c r="H24" s="30"/>
      <c r="I24" s="30"/>
      <c r="J24" s="30"/>
      <c r="K24" s="40"/>
      <c r="L24" s="114"/>
      <c r="M24" s="30"/>
      <c r="N24" s="30">
        <f>SUM(N20:N22)</f>
        <v>10633.145537588314</v>
      </c>
      <c r="O24" s="30"/>
      <c r="P24" s="40">
        <f>SUM(P20:P22)</f>
        <v>10633.145537588314</v>
      </c>
    </row>
    <row r="25" spans="1:16" ht="13">
      <c r="A25" s="376"/>
      <c r="B25" s="38"/>
      <c r="C25" s="68"/>
      <c r="D25" s="68"/>
      <c r="E25" s="68"/>
      <c r="F25" s="283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 ht="13">
      <c r="A26" s="378" t="str">
        <f>'Resid TSM Sum by Rate Schedule'!A25</f>
        <v>Annualized Transformer Cost at 8.05%</v>
      </c>
      <c r="B26" s="119"/>
      <c r="C26" s="73"/>
      <c r="D26" s="73">
        <f>D20*Inputs!$C$5</f>
        <v>780.38721972419114</v>
      </c>
      <c r="E26" s="73"/>
      <c r="F26" s="75">
        <f>F20*Inputs!$C$5</f>
        <v>780.38721972419114</v>
      </c>
      <c r="G26" s="119"/>
      <c r="H26" s="73"/>
      <c r="I26" s="73"/>
      <c r="J26" s="73"/>
      <c r="K26" s="75"/>
      <c r="L26" s="119"/>
      <c r="M26" s="73"/>
      <c r="N26" s="73">
        <f>N20*Inputs!$C$5</f>
        <v>780.38721972419114</v>
      </c>
      <c r="O26" s="73"/>
      <c r="P26" s="75">
        <f>P20*Inputs!$C$5</f>
        <v>780.38721972419114</v>
      </c>
    </row>
    <row r="27" spans="1:16" ht="13">
      <c r="A27" s="378" t="str">
        <f>'Resid TSM Sum by Rate Schedule'!A26</f>
        <v>Annualized Services Cost at 7.08%</v>
      </c>
      <c r="B27" s="119"/>
      <c r="C27" s="73"/>
      <c r="D27" s="73">
        <f>D21*Inputs!$C$6</f>
        <v>44.66177001173898</v>
      </c>
      <c r="E27" s="73"/>
      <c r="F27" s="75">
        <f>F21*Inputs!$C$6</f>
        <v>44.66177001173898</v>
      </c>
      <c r="G27" s="119"/>
      <c r="H27" s="73"/>
      <c r="I27" s="73"/>
      <c r="J27" s="73"/>
      <c r="K27" s="75"/>
      <c r="L27" s="119"/>
      <c r="M27" s="73"/>
      <c r="N27" s="73">
        <f>N21*Inputs!$C$6</f>
        <v>44.66177001173898</v>
      </c>
      <c r="O27" s="73"/>
      <c r="P27" s="75">
        <f>P21*Inputs!$C$6</f>
        <v>44.66177001173898</v>
      </c>
    </row>
    <row r="28" spans="1:16" ht="16">
      <c r="A28" s="378" t="str">
        <f>'Resid TSM Sum by Rate Schedule'!A27</f>
        <v>Annualized Meter Cost at 10.78%</v>
      </c>
      <c r="B28" s="459"/>
      <c r="C28" s="458"/>
      <c r="D28" s="458">
        <f>D22*Inputs!$C$7</f>
        <v>32.899572560360284</v>
      </c>
      <c r="E28" s="458"/>
      <c r="F28" s="457">
        <f>F22*Inputs!$C$7</f>
        <v>32.899572560360284</v>
      </c>
      <c r="G28" s="459"/>
      <c r="H28" s="458"/>
      <c r="I28" s="458"/>
      <c r="J28" s="458"/>
      <c r="K28" s="457"/>
      <c r="L28" s="459"/>
      <c r="M28" s="458"/>
      <c r="N28" s="458">
        <f>N22*Inputs!$C$7</f>
        <v>32.899572560360284</v>
      </c>
      <c r="O28" s="458"/>
      <c r="P28" s="457">
        <f>P22*Inputs!$C$7</f>
        <v>32.899572560360284</v>
      </c>
    </row>
    <row r="29" spans="1:16" ht="13">
      <c r="A29" s="453" t="s">
        <v>275</v>
      </c>
      <c r="B29" s="119"/>
      <c r="C29" s="73"/>
      <c r="D29" s="73">
        <f>SUM(D26:D28)</f>
        <v>857.94856229629045</v>
      </c>
      <c r="E29" s="73"/>
      <c r="F29" s="75">
        <f>SUM(F26:F28)</f>
        <v>857.94856229629045</v>
      </c>
      <c r="G29" s="119"/>
      <c r="H29" s="73"/>
      <c r="I29" s="73"/>
      <c r="J29" s="73"/>
      <c r="K29" s="75"/>
      <c r="L29" s="119"/>
      <c r="M29" s="73"/>
      <c r="N29" s="73">
        <f t="shared" ref="N29" si="6">SUM(N26:N28)</f>
        <v>857.94856229629045</v>
      </c>
      <c r="O29" s="73"/>
      <c r="P29" s="75">
        <f t="shared" ref="P29" si="7">SUM(P26:P28)</f>
        <v>857.94856229629045</v>
      </c>
    </row>
    <row r="30" spans="1:16" ht="13">
      <c r="A30" s="377"/>
      <c r="B30" s="47"/>
      <c r="C30" s="69"/>
      <c r="D30" s="69"/>
      <c r="E30" s="69"/>
      <c r="F30" s="284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 ht="13">
      <c r="A31" s="36" t="s">
        <v>50</v>
      </c>
      <c r="B31" s="148"/>
      <c r="C31" s="70"/>
      <c r="D31" s="70">
        <f>'Sch TOU-M TSM Summary'!D$31*Inputs!$C$13</f>
        <v>106.81673091780989</v>
      </c>
      <c r="E31" s="70"/>
      <c r="F31" s="282">
        <f>'Sch TOU-M TSM Summary'!F$31*Inputs!$C$13</f>
        <v>106.81673091780989</v>
      </c>
      <c r="G31" s="148"/>
      <c r="H31" s="70"/>
      <c r="I31" s="70"/>
      <c r="J31" s="70"/>
      <c r="K31" s="282"/>
      <c r="L31" s="148"/>
      <c r="M31" s="70"/>
      <c r="N31" s="70">
        <f>'Sch TOU-M TSM Summary'!N$31*Inputs!$C$13</f>
        <v>106.81673091780989</v>
      </c>
      <c r="O31" s="70"/>
      <c r="P31" s="282">
        <f>'Sch TOU-M TSM Summary'!P$31*Inputs!$C$13</f>
        <v>106.81673091780989</v>
      </c>
    </row>
    <row r="32" spans="1:16" ht="16">
      <c r="A32" s="36" t="s">
        <v>330</v>
      </c>
      <c r="B32" s="546"/>
      <c r="C32" s="545"/>
      <c r="D32" s="545">
        <f>-Inputs!$C$18</f>
        <v>-3.0284021924274875</v>
      </c>
      <c r="E32" s="545"/>
      <c r="F32" s="547">
        <f>-Inputs!$C$18</f>
        <v>-3.0284021924274875</v>
      </c>
      <c r="G32" s="546"/>
      <c r="H32" s="545"/>
      <c r="I32" s="545"/>
      <c r="J32" s="545"/>
      <c r="K32" s="547"/>
      <c r="L32" s="546"/>
      <c r="M32" s="545"/>
      <c r="N32" s="545">
        <f>-Inputs!$C$18</f>
        <v>-3.0284021924274875</v>
      </c>
      <c r="O32" s="545"/>
      <c r="P32" s="547">
        <f>-Inputs!$C$18</f>
        <v>-3.0284021924274875</v>
      </c>
    </row>
    <row r="33" spans="1:16" ht="13">
      <c r="A33" s="36" t="s">
        <v>328</v>
      </c>
      <c r="B33" s="148"/>
      <c r="C33" s="70"/>
      <c r="D33" s="70">
        <f t="shared" ref="D33:P33" si="8">D31+D32</f>
        <v>103.7883287253824</v>
      </c>
      <c r="E33" s="70"/>
      <c r="F33" s="282">
        <f t="shared" si="8"/>
        <v>103.7883287253824</v>
      </c>
      <c r="G33" s="148"/>
      <c r="H33" s="70"/>
      <c r="I33" s="70"/>
      <c r="J33" s="70"/>
      <c r="K33" s="282"/>
      <c r="L33" s="148"/>
      <c r="M33" s="70"/>
      <c r="N33" s="70">
        <f t="shared" ref="N33" si="9">N31+N32</f>
        <v>103.7883287253824</v>
      </c>
      <c r="O33" s="70"/>
      <c r="P33" s="282">
        <f t="shared" si="8"/>
        <v>103.7883287253824</v>
      </c>
    </row>
    <row r="34" spans="1:16" ht="13">
      <c r="A34" s="118"/>
      <c r="B34" s="148"/>
      <c r="C34" s="70"/>
      <c r="D34" s="70"/>
      <c r="E34" s="70"/>
      <c r="F34" s="282"/>
      <c r="G34" s="11"/>
      <c r="H34" s="12"/>
      <c r="I34" s="12"/>
      <c r="J34" s="12"/>
      <c r="K34" s="76"/>
      <c r="L34" s="148"/>
      <c r="M34" s="70"/>
      <c r="N34" s="70"/>
      <c r="O34" s="70"/>
      <c r="P34" s="282"/>
    </row>
    <row r="35" spans="1:16" ht="13">
      <c r="A35" s="117" t="s">
        <v>57</v>
      </c>
      <c r="B35" s="148"/>
      <c r="C35" s="70"/>
      <c r="D35" s="70">
        <f>'Sch TOU-M TSM Summary'!D33*Inputs!$C$14</f>
        <v>56.488244546548472</v>
      </c>
      <c r="E35" s="70"/>
      <c r="F35" s="282">
        <f>'Sch TOU-M TSM Summary'!F33*Inputs!$C$14</f>
        <v>56.488244546548472</v>
      </c>
      <c r="G35" s="288"/>
      <c r="H35" s="83"/>
      <c r="I35" s="83"/>
      <c r="J35" s="83"/>
      <c r="K35" s="289"/>
      <c r="L35" s="148"/>
      <c r="M35" s="70"/>
      <c r="N35" s="70">
        <f>'Sch TOU-M TSM Summary'!N33*Inputs!$C$14</f>
        <v>56.488244546548472</v>
      </c>
      <c r="O35" s="70"/>
      <c r="P35" s="282">
        <f>'Sch TOU-M TSM Summary'!P33*Inputs!$C$14</f>
        <v>56.488244546548472</v>
      </c>
    </row>
    <row r="36" spans="1:16">
      <c r="A36" s="118"/>
      <c r="B36" s="11"/>
      <c r="C36" s="12"/>
      <c r="D36" s="12"/>
      <c r="E36" s="12"/>
      <c r="F36" s="76"/>
      <c r="G36" s="11"/>
      <c r="H36" s="12"/>
      <c r="I36" s="12"/>
      <c r="J36" s="12"/>
      <c r="K36" s="76"/>
      <c r="L36" s="11"/>
      <c r="M36" s="12"/>
      <c r="N36" s="12"/>
      <c r="O36" s="12"/>
      <c r="P36" s="76"/>
    </row>
    <row r="37" spans="1:16" ht="13.5" thickBot="1">
      <c r="A37" s="454" t="s">
        <v>83</v>
      </c>
      <c r="B37" s="285"/>
      <c r="C37" s="286"/>
      <c r="D37" s="286">
        <f>D29+D33+D35</f>
        <v>1018.2251355682213</v>
      </c>
      <c r="E37" s="286"/>
      <c r="F37" s="287">
        <f>F29+F33+F35</f>
        <v>1018.2251355682213</v>
      </c>
      <c r="G37" s="285"/>
      <c r="H37" s="286"/>
      <c r="I37" s="286"/>
      <c r="J37" s="286"/>
      <c r="K37" s="287"/>
      <c r="L37" s="285"/>
      <c r="M37" s="286"/>
      <c r="N37" s="286">
        <f t="shared" ref="N37" si="10">N29+N33+N35</f>
        <v>1018.2251355682213</v>
      </c>
      <c r="O37" s="286"/>
      <c r="P37" s="287">
        <f t="shared" ref="P37" si="11">P29+P33+P35</f>
        <v>1018.2251355682213</v>
      </c>
    </row>
    <row r="38" spans="1:16">
      <c r="A38" s="85"/>
      <c r="B38" s="85"/>
      <c r="C38" s="85"/>
      <c r="D38" s="85"/>
      <c r="E38" s="85"/>
      <c r="F38" s="85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70">
    <tabColor rgb="FFFFC000"/>
  </sheetPr>
  <dimension ref="A1:Q56"/>
  <sheetViews>
    <sheetView zoomScaleNormal="100" workbookViewId="0">
      <selection activeCell="I8" sqref="I8"/>
    </sheetView>
  </sheetViews>
  <sheetFormatPr defaultRowHeight="12.5"/>
  <cols>
    <col min="1" max="1" width="40.7265625" customWidth="1"/>
    <col min="2" max="2" width="10.26953125" style="12" customWidth="1"/>
    <col min="3" max="3" width="17.1796875" style="12" bestFit="1" customWidth="1"/>
    <col min="4" max="4" width="8.81640625" style="12" bestFit="1" customWidth="1"/>
    <col min="5" max="5" width="14.1796875" style="12" bestFit="1" customWidth="1"/>
    <col min="6" max="6" width="14" style="12" bestFit="1" customWidth="1"/>
    <col min="7" max="7" width="17.1796875" style="12" bestFit="1" customWidth="1"/>
    <col min="8" max="8" width="14.81640625" style="12" bestFit="1" customWidth="1"/>
    <col min="9" max="9" width="14" style="12" bestFit="1" customWidth="1"/>
    <col min="10" max="10" width="15.453125" style="12" bestFit="1" customWidth="1"/>
    <col min="11" max="11" width="17.1796875" style="12" bestFit="1" customWidth="1"/>
    <col min="12" max="12" width="16.26953125" style="12" bestFit="1" customWidth="1"/>
    <col min="13" max="13" width="14.81640625" style="12" bestFit="1" customWidth="1"/>
    <col min="14" max="14" width="14.453125" bestFit="1" customWidth="1"/>
    <col min="15" max="15" width="17.1796875" bestFit="1" customWidth="1"/>
    <col min="16" max="16" width="16.26953125" bestFit="1" customWidth="1"/>
    <col min="17" max="17" width="14.453125" bestFit="1" customWidth="1"/>
  </cols>
  <sheetData>
    <row r="1" spans="1:17" ht="18.5" thickBot="1">
      <c r="A1" s="735" t="s">
        <v>187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188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2</v>
      </c>
      <c r="F3" s="298" t="s">
        <v>144</v>
      </c>
      <c r="G3" s="299" t="s">
        <v>119</v>
      </c>
      <c r="H3" s="299" t="s">
        <v>85</v>
      </c>
      <c r="I3" s="445" t="s">
        <v>2</v>
      </c>
      <c r="J3" s="298" t="s">
        <v>144</v>
      </c>
      <c r="K3" s="299" t="s">
        <v>119</v>
      </c>
      <c r="L3" s="299" t="s">
        <v>85</v>
      </c>
      <c r="M3" s="445" t="s">
        <v>2</v>
      </c>
      <c r="N3" s="298" t="s">
        <v>144</v>
      </c>
      <c r="O3" s="299" t="s">
        <v>119</v>
      </c>
      <c r="P3" s="299" t="s">
        <v>85</v>
      </c>
      <c r="Q3" s="445" t="s">
        <v>2</v>
      </c>
    </row>
    <row r="4" spans="1:17" ht="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 ht="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 ht="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 ht="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 ht="13">
      <c r="A8" s="117" t="s">
        <v>53</v>
      </c>
      <c r="B8" s="115">
        <f>('Sch OL-TOU TSM Summary'!B8*'Sch OL-TOU Cust Fcst'!$F$39+'Sch AL-TOU TSM Summary'!B8*'Sch AL-TOU Cust Fcst'!$F$39+'Sch DG-R TSM Summary'!B8*'Sch DG-R Cust Fcst'!$F$39)/('Sch OL-TOU Cust Fcst'!$F$39+'Sch AL-TOU Cust Fcst'!$F$39+'Sch DG-R Cust Fcst'!$F$39)</f>
        <v>12122.121192262895</v>
      </c>
      <c r="C8" s="134">
        <f>('Sch OL-TOU TSM Summary'!E8*'Sch OL-TOU Cust Fcst'!$F$40+'Sch AL-TOU TSM Summary'!C8*'Sch AL-TOU Cust Fcst'!$F$40+'Sch DG-R TSM Summary'!C8*'Sch DG-R Cust Fcst'!$F$40)/('Sch OL-TOU Cust Fcst'!$F$40+'Sch AL-TOU Cust Fcst'!$F$40+'Sch DG-R Cust Fcst'!$F$40)</f>
        <v>26618.104208993409</v>
      </c>
      <c r="D8" s="134"/>
      <c r="E8" s="44">
        <f>('Sch OL-TOU TSM Summary'!E8*'Sch OL-TOU Cust Fcst'!$F$38+'Sch AL-TOU TSM Summary'!E8*'Sch AL-TOU Cust Fcst'!$F$38+'Sch DG-R TSM Summary'!E8*'Sch DG-R Cust Fcst'!$F$38)/('Sch OL-TOU Cust Fcst'!$F$38+'Sch AL-TOU Cust Fcst'!$F$38+'Sch DG-R Cust Fcst'!$F$38)</f>
        <v>12536.747769199079</v>
      </c>
      <c r="F8" s="115">
        <f>('Sch AL-TOU TSM Summary'!F8*'Sch AL-TOU Cust Fcst'!$G$39+'Sch DG-R TSM Summary'!F8*'Sch DG-R Cust Fcst'!$G$39+'Sch A6-TOU TSM Summary'!B8*'Sch A6-TOU Cust Fcst '!$B$39)/('Sch AL-TOU Cust Fcst'!$G$39+'Sch DG-R Cust Fcst'!$G$39+'Sch A6-TOU Cust Fcst '!$B$39)</f>
        <v>0</v>
      </c>
      <c r="G8" s="134">
        <f>('Sch AL-TOU TSM Summary'!G8*'Sch AL-TOU Cust Fcst'!$G$40+'Sch DG-R TSM Summary'!G8*'Sch DG-R Cust Fcst'!$G$40+'Sch A6-TOU TSM Summary'!C8*'Sch A6-TOU Cust Fcst '!$B$40)/('Sch AL-TOU Cust Fcst'!$G$40+'Sch DG-R Cust Fcst'!$G$40+'Sch A6-TOU Cust Fcst '!$B$40)</f>
        <v>0</v>
      </c>
      <c r="H8" s="134"/>
      <c r="I8" s="44">
        <f>('Sch AL-TOU TSM Summary'!I8*'Sch AL-TOU Cust Fcst'!$G$38+'Sch DG-R TSM Summary'!I8*'Sch DG-R Cust Fcst'!$G$38+'Sch A6-TOU TSM Summary'!E8*'Sch A6-TOU Cust Fcst '!$B$38)/('Sch AL-TOU Cust Fcst'!$G$38+'Sch DG-R Cust Fcst'!$G$38+'Sch A6-TOU Cust Fcst '!$B$38)</f>
        <v>0</v>
      </c>
      <c r="J8" s="115"/>
      <c r="K8" s="134"/>
      <c r="L8" s="134"/>
      <c r="M8" s="44"/>
      <c r="N8" s="115">
        <f>('Sch OL-TOU TSM Summary'!B8*'Sch OL-TOU Cust Fcst'!$H$39+'Sch AL-TOU TSM Summary'!N8*'Sch AL-TOU Cust Fcst'!$I$39+'Sch DG-R TSM Summary'!J8*'Sch DG-R Cust Fcst'!$H$39+'Sch A6-TOU TSM Summary'!J8*'Sch A6-TOU Cust Fcst '!$D$39)/('Sch OL-TOU Cust Fcst'!$H$39+'Sch AL-TOU Cust Fcst'!$I$39+'Sch DG-R Cust Fcst'!$H$39+'Sch A6-TOU Cust Fcst '!$D$39)</f>
        <v>11571.711365154742</v>
      </c>
      <c r="O8" s="134">
        <f>('Sch OL-TOU TSM Summary'!C8*'Sch OL-TOU Cust Fcst'!$H$40+'Sch AL-TOU TSM Summary'!O8*'Sch AL-TOU Cust Fcst'!$I$40+'Sch DG-R TSM Summary'!K8*'Sch DG-R Cust Fcst'!$H$40+'Sch A6-TOU TSM Summary'!K8*'Sch A6-TOU Cust Fcst '!$D$40)/('Sch OL-TOU Cust Fcst'!$H$40+'Sch AL-TOU Cust Fcst'!$I$40+'Sch DG-R Cust Fcst'!$H$40+'Sch A6-TOU Cust Fcst '!$D$40)</f>
        <v>16094.667661251828</v>
      </c>
      <c r="P8" s="134"/>
      <c r="Q8" s="44">
        <f>('Sch OL-TOU TSM Summary'!E8*'Sch OL-TOU Cust Fcst'!$H$38+'Sch AL-TOU TSM Summary'!Q8*'Sch AL-TOU Cust Fcst'!$I$38+'Sch DG-R TSM Summary'!M8*'Sch DG-R Cust Fcst'!$H$38+'Sch A6-TOU TSM Summary'!M8*'Sch A6-TOU Cust Fcst '!$D$38)/('Sch OL-TOU Cust Fcst'!$H$38+'Sch AL-TOU Cust Fcst'!$I$38+'Sch DG-R Cust Fcst'!$H$38+'Sch A6-TOU Cust Fcst '!$D$38)</f>
        <v>11772.62781219211</v>
      </c>
    </row>
    <row r="9" spans="1:17" ht="13">
      <c r="A9" s="117" t="s">
        <v>51</v>
      </c>
      <c r="B9" s="115">
        <f>('Sch OL-TOU TSM Summary'!B9*'Sch OL-TOU Cust Fcst'!$F$39+'Sch AL-TOU TSM Summary'!B9*'Sch AL-TOU Cust Fcst'!$F$39+'Sch DG-R TSM Summary'!B9*'Sch DG-R Cust Fcst'!$F$39)/('Sch OL-TOU Cust Fcst'!$F$39+'Sch AL-TOU Cust Fcst'!$F$39+'Sch DG-R Cust Fcst'!$F$39)</f>
        <v>2405.6109921951497</v>
      </c>
      <c r="C9" s="134">
        <f>('Sch OL-TOU TSM Summary'!E9*'Sch OL-TOU Cust Fcst'!$F$40+'Sch AL-TOU TSM Summary'!C9*'Sch AL-TOU Cust Fcst'!$F$40+'Sch DG-R TSM Summary'!C9*'Sch DG-R Cust Fcst'!$F$40)/('Sch OL-TOU Cust Fcst'!$F$40+'Sch AL-TOU Cust Fcst'!$F$40+'Sch DG-R Cust Fcst'!$F$40)</f>
        <v>6619.2023436430081</v>
      </c>
      <c r="D9" s="134"/>
      <c r="E9" s="44">
        <f>('Sch OL-TOU TSM Summary'!E9*'Sch OL-TOU Cust Fcst'!$F$38+'Sch AL-TOU TSM Summary'!E9*'Sch AL-TOU Cust Fcst'!$F$38+'Sch DG-R TSM Summary'!E9*'Sch DG-R Cust Fcst'!$F$38)/('Sch OL-TOU Cust Fcst'!$F$38+'Sch AL-TOU Cust Fcst'!$F$38+'Sch DG-R Cust Fcst'!$F$38)</f>
        <v>2526.1317569230309</v>
      </c>
      <c r="F9" s="115">
        <f>('Sch AL-TOU TSM Summary'!F9*'Sch AL-TOU Cust Fcst'!$G$39+'Sch DG-R TSM Summary'!F9*'Sch DG-R Cust Fcst'!$G$39+'Sch A6-TOU TSM Summary'!B9*'Sch A6-TOU Cust Fcst '!$B$39)/('Sch AL-TOU Cust Fcst'!$G$39+'Sch DG-R Cust Fcst'!$G$39+'Sch A6-TOU Cust Fcst '!$B$39)</f>
        <v>3129.9273129422195</v>
      </c>
      <c r="G9" s="134">
        <f>('Sch AL-TOU TSM Summary'!G9*'Sch AL-TOU Cust Fcst'!$G$40+'Sch DG-R TSM Summary'!G9*'Sch DG-R Cust Fcst'!$G$40+'Sch A6-TOU TSM Summary'!C9*'Sch A6-TOU Cust Fcst '!$B$40)/('Sch AL-TOU Cust Fcst'!$G$40+'Sch DG-R Cust Fcst'!$G$40+'Sch A6-TOU Cust Fcst '!$B$40)</f>
        <v>3129.927312942219</v>
      </c>
      <c r="H9" s="134"/>
      <c r="I9" s="44">
        <f>('Sch AL-TOU TSM Summary'!I9*'Sch AL-TOU Cust Fcst'!$G$38+'Sch DG-R TSM Summary'!I9*'Sch DG-R Cust Fcst'!$G$38+'Sch A6-TOU TSM Summary'!E9*'Sch A6-TOU Cust Fcst '!$B$38)/('Sch AL-TOU Cust Fcst'!$G$38+'Sch DG-R Cust Fcst'!$G$38+'Sch A6-TOU Cust Fcst '!$B$38)</f>
        <v>3129.9273129422199</v>
      </c>
      <c r="J9" s="115"/>
      <c r="K9" s="134"/>
      <c r="L9" s="134"/>
      <c r="M9" s="44"/>
      <c r="N9" s="115">
        <f>('Sch OL-TOU TSM Summary'!B9*'Sch OL-TOU Cust Fcst'!$H$39+'Sch AL-TOU TSM Summary'!N9*'Sch AL-TOU Cust Fcst'!$I$39+'Sch DG-R TSM Summary'!J9*'Sch DG-R Cust Fcst'!$H$39+'Sch A6-TOU TSM Summary'!J9*'Sch A6-TOU Cust Fcst '!$D$39)/('Sch OL-TOU Cust Fcst'!$H$39+'Sch AL-TOU Cust Fcst'!$I$39+'Sch DG-R Cust Fcst'!$H$39+'Sch A6-TOU Cust Fcst '!$D$39)</f>
        <v>2438.4988683804222</v>
      </c>
      <c r="O9" s="134">
        <f>('Sch OL-TOU TSM Summary'!C9*'Sch OL-TOU Cust Fcst'!$H$40+'Sch AL-TOU TSM Summary'!O9*'Sch AL-TOU Cust Fcst'!$I$40+'Sch DG-R TSM Summary'!K9*'Sch DG-R Cust Fcst'!$H$40+'Sch A6-TOU TSM Summary'!K9*'Sch A6-TOU Cust Fcst '!$D$40)/('Sch OL-TOU Cust Fcst'!$H$40+'Sch AL-TOU Cust Fcst'!$I$40+'Sch DG-R Cust Fcst'!$H$40+'Sch A6-TOU Cust Fcst '!$D$40)</f>
        <v>5239.7215175519996</v>
      </c>
      <c r="P9" s="134"/>
      <c r="Q9" s="44">
        <f>('Sch OL-TOU TSM Summary'!E9*'Sch OL-TOU Cust Fcst'!$H$38+'Sch AL-TOU TSM Summary'!Q9*'Sch AL-TOU Cust Fcst'!$I$38+'Sch DG-R TSM Summary'!M9*'Sch DG-R Cust Fcst'!$H$38+'Sch A6-TOU TSM Summary'!M9*'Sch A6-TOU Cust Fcst '!$D$38)/('Sch OL-TOU Cust Fcst'!$H$38+'Sch AL-TOU Cust Fcst'!$I$38+'Sch DG-R Cust Fcst'!$H$38+'Sch A6-TOU Cust Fcst '!$D$38)</f>
        <v>2562.9333455646965</v>
      </c>
    </row>
    <row r="10" spans="1:17" ht="13">
      <c r="A10" s="117" t="s">
        <v>52</v>
      </c>
      <c r="B10" s="115">
        <f>('Sch OL-TOU TSM Summary'!B10*'Sch OL-TOU Cust Fcst'!$F$39+'Sch AL-TOU TSM Summary'!B10*'Sch AL-TOU Cust Fcst'!$F$39+'Sch DG-R TSM Summary'!B10*'Sch DG-R Cust Fcst'!$F$39)/('Sch OL-TOU Cust Fcst'!$F$39+'Sch AL-TOU Cust Fcst'!$F$39+'Sch DG-R Cust Fcst'!$F$39)</f>
        <v>660.66493479602684</v>
      </c>
      <c r="C10" s="134">
        <f>('Sch OL-TOU TSM Summary'!E10*'Sch OL-TOU Cust Fcst'!$F$40+'Sch AL-TOU TSM Summary'!C10*'Sch AL-TOU Cust Fcst'!$F$40+'Sch DG-R TSM Summary'!C10*'Sch DG-R Cust Fcst'!$F$40)/('Sch OL-TOU Cust Fcst'!$F$40+'Sch AL-TOU Cust Fcst'!$F$40+'Sch DG-R Cust Fcst'!$F$40)</f>
        <v>865.67585029149404</v>
      </c>
      <c r="D10" s="134"/>
      <c r="E10" s="44">
        <f>('Sch OL-TOU TSM Summary'!E10*'Sch OL-TOU Cust Fcst'!$F$38+'Sch AL-TOU TSM Summary'!E10*'Sch AL-TOU Cust Fcst'!$F$38+'Sch DG-R TSM Summary'!E10*'Sch DG-R Cust Fcst'!$F$38)/('Sch OL-TOU Cust Fcst'!$F$38+'Sch AL-TOU Cust Fcst'!$F$38+'Sch DG-R Cust Fcst'!$F$38)</f>
        <v>666.5288333690545</v>
      </c>
      <c r="F10" s="115">
        <f>('Sch AL-TOU TSM Summary'!F10*'Sch AL-TOU Cust Fcst'!$G$39+'Sch DG-R TSM Summary'!F10*'Sch DG-R Cust Fcst'!$G$39+'Sch A6-TOU TSM Summary'!B10*'Sch A6-TOU Cust Fcst '!$B$39)/('Sch AL-TOU Cust Fcst'!$G$39+'Sch DG-R Cust Fcst'!$G$39+'Sch A6-TOU Cust Fcst '!$B$39)</f>
        <v>960.52551063395344</v>
      </c>
      <c r="G10" s="134">
        <f>('Sch AL-TOU TSM Summary'!G10*'Sch AL-TOU Cust Fcst'!$G$40+'Sch DG-R TSM Summary'!G10*'Sch DG-R Cust Fcst'!$G$40+'Sch A6-TOU TSM Summary'!C10*'Sch A6-TOU Cust Fcst '!$B$40)/('Sch AL-TOU Cust Fcst'!$G$40+'Sch DG-R Cust Fcst'!$G$40+'Sch A6-TOU Cust Fcst '!$B$40)</f>
        <v>967.82163835260417</v>
      </c>
      <c r="H10" s="134"/>
      <c r="I10" s="44">
        <f>('Sch AL-TOU TSM Summary'!I10*'Sch AL-TOU Cust Fcst'!$G$38+'Sch DG-R TSM Summary'!I10*'Sch DG-R Cust Fcst'!$G$38+'Sch A6-TOU TSM Summary'!E10*'Sch A6-TOU Cust Fcst '!$B$38)/('Sch AL-TOU Cust Fcst'!$G$38+'Sch DG-R Cust Fcst'!$G$38+'Sch A6-TOU Cust Fcst '!$B$38)</f>
        <v>962.62778472237801</v>
      </c>
      <c r="J10" s="115"/>
      <c r="K10" s="134"/>
      <c r="L10" s="134"/>
      <c r="M10" s="44"/>
      <c r="N10" s="115">
        <f>('Sch OL-TOU TSM Summary'!B10*'Sch OL-TOU Cust Fcst'!$H$39+'Sch AL-TOU TSM Summary'!N10*'Sch AL-TOU Cust Fcst'!$I$39+'Sch DG-R TSM Summary'!J10*'Sch DG-R Cust Fcst'!$H$39+'Sch A6-TOU TSM Summary'!J10*'Sch A6-TOU Cust Fcst '!$D$39)/('Sch OL-TOU Cust Fcst'!$H$39+'Sch AL-TOU Cust Fcst'!$I$39+'Sch DG-R Cust Fcst'!$H$39+'Sch A6-TOU Cust Fcst '!$D$39)</f>
        <v>674.28022580704612</v>
      </c>
      <c r="O10" s="134">
        <f>('Sch OL-TOU TSM Summary'!C10*'Sch OL-TOU Cust Fcst'!$H$40+'Sch AL-TOU TSM Summary'!O10*'Sch AL-TOU Cust Fcst'!$I$40+'Sch DG-R TSM Summary'!K10*'Sch DG-R Cust Fcst'!$H$40+'Sch A6-TOU TSM Summary'!K10*'Sch A6-TOU Cust Fcst '!$D$40)/('Sch OL-TOU Cust Fcst'!$H$40+'Sch AL-TOU Cust Fcst'!$I$40+'Sch DG-R Cust Fcst'!$H$40+'Sch A6-TOU Cust Fcst '!$D$40)</f>
        <v>906.05906882728175</v>
      </c>
      <c r="P10" s="134"/>
      <c r="Q10" s="44">
        <f>('Sch OL-TOU TSM Summary'!E10*'Sch OL-TOU Cust Fcst'!$H$38+'Sch AL-TOU TSM Summary'!Q10*'Sch AL-TOU Cust Fcst'!$I$38+'Sch DG-R TSM Summary'!M10*'Sch DG-R Cust Fcst'!$H$38+'Sch A6-TOU TSM Summary'!M10*'Sch A6-TOU Cust Fcst '!$D$38)/('Sch OL-TOU Cust Fcst'!$H$38+'Sch AL-TOU Cust Fcst'!$I$38+'Sch DG-R Cust Fcst'!$H$38+'Sch A6-TOU Cust Fcst '!$D$38)</f>
        <v>684.57618680897804</v>
      </c>
    </row>
    <row r="11" spans="1:17" ht="13">
      <c r="A11" s="376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 ht="13">
      <c r="A12" s="117" t="s">
        <v>35</v>
      </c>
      <c r="B12" s="114">
        <f t="shared" ref="B12:I12" si="0">SUM(B8:B10)</f>
        <v>15188.397119254072</v>
      </c>
      <c r="C12" s="30">
        <f t="shared" si="0"/>
        <v>34102.982402927912</v>
      </c>
      <c r="D12" s="30"/>
      <c r="E12" s="40">
        <f t="shared" si="0"/>
        <v>15729.408359491164</v>
      </c>
      <c r="F12" s="114">
        <f t="shared" si="0"/>
        <v>4090.4528235761727</v>
      </c>
      <c r="G12" s="30">
        <f t="shared" si="0"/>
        <v>4097.7489512948232</v>
      </c>
      <c r="H12" s="30"/>
      <c r="I12" s="40">
        <f t="shared" si="0"/>
        <v>4092.5550976645982</v>
      </c>
      <c r="J12" s="114"/>
      <c r="K12" s="30"/>
      <c r="L12" s="30"/>
      <c r="M12" s="40"/>
      <c r="N12" s="114">
        <f t="shared" ref="N12:Q12" si="1">SUM(N8:N10)</f>
        <v>14684.490459342211</v>
      </c>
      <c r="O12" s="30">
        <f t="shared" si="1"/>
        <v>22240.44824763111</v>
      </c>
      <c r="P12" s="30"/>
      <c r="Q12" s="40">
        <f t="shared" si="1"/>
        <v>15020.137344565783</v>
      </c>
    </row>
    <row r="13" spans="1:17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 ht="13">
      <c r="A15" s="377">
        <f>Inputs!C3</f>
        <v>2.9094935671404847E-2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 ht="13">
      <c r="A17" s="47">
        <f>Inputs!C4</f>
        <v>1.99475E-2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 ht="13">
      <c r="A18" s="378" t="s">
        <v>92</v>
      </c>
      <c r="B18" s="114">
        <f>(B8*(1+$A$15)*(1+$A$17))</f>
        <v>12723.654871413562</v>
      </c>
      <c r="C18" s="30">
        <f>(C8*(1+$A$15)*(1+$A$17))</f>
        <v>27938.969254219268</v>
      </c>
      <c r="D18" s="30"/>
      <c r="E18" s="40">
        <f t="shared" ref="E18:Q18" si="2">(E8*(1+$A$15)*(1+$A$17))</f>
        <v>13158.856382912953</v>
      </c>
      <c r="F18" s="114">
        <f t="shared" si="2"/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12145.932163738569</v>
      </c>
      <c r="O18" s="30">
        <f t="shared" si="2"/>
        <v>16893.33024673723</v>
      </c>
      <c r="P18" s="30"/>
      <c r="Q18" s="40">
        <f t="shared" si="2"/>
        <v>12356.818648830447</v>
      </c>
    </row>
    <row r="19" spans="1:17" ht="13">
      <c r="A19" s="378" t="s">
        <v>51</v>
      </c>
      <c r="B19" s="114">
        <f t="shared" ref="B19:C20" si="3">(B9*(1+$A$15)*(1+$A$17))</f>
        <v>2524.9841619390754</v>
      </c>
      <c r="C19" s="30">
        <f t="shared" si="3"/>
        <v>6947.665743378333</v>
      </c>
      <c r="D19" s="30"/>
      <c r="E19" s="40">
        <f t="shared" ref="E19:Q19" si="4">(E9*(1+$A$15)*(1+$A$17))</f>
        <v>2651.485505302574</v>
      </c>
      <c r="F19" s="114">
        <f t="shared" si="4"/>
        <v>3285.2430916056096</v>
      </c>
      <c r="G19" s="30">
        <f t="shared" si="4"/>
        <v>3285.2430916056092</v>
      </c>
      <c r="H19" s="30"/>
      <c r="I19" s="40">
        <f t="shared" si="4"/>
        <v>3285.2430916056101</v>
      </c>
      <c r="J19" s="114"/>
      <c r="K19" s="30"/>
      <c r="L19" s="30"/>
      <c r="M19" s="40"/>
      <c r="N19" s="114">
        <f t="shared" si="4"/>
        <v>2559.5040268536641</v>
      </c>
      <c r="O19" s="30">
        <f t="shared" si="4"/>
        <v>5499.7312066309778</v>
      </c>
      <c r="P19" s="30"/>
      <c r="Q19" s="40">
        <f t="shared" si="4"/>
        <v>2690.1132920710443</v>
      </c>
    </row>
    <row r="20" spans="1:17" ht="13">
      <c r="A20" s="378" t="s">
        <v>52</v>
      </c>
      <c r="B20" s="114">
        <f t="shared" si="3"/>
        <v>693.44898328148031</v>
      </c>
      <c r="C20" s="30">
        <f t="shared" si="3"/>
        <v>908.63311584911685</v>
      </c>
      <c r="D20" s="30"/>
      <c r="E20" s="40">
        <f t="shared" ref="E20:Q20" si="5">(E10*(1+$A$15)*(1+$A$17))</f>
        <v>699.60386496108265</v>
      </c>
      <c r="F20" s="114">
        <f t="shared" si="5"/>
        <v>1008.189482571348</v>
      </c>
      <c r="G20" s="30">
        <f t="shared" si="5"/>
        <v>1015.8476646269044</v>
      </c>
      <c r="H20" s="30"/>
      <c r="I20" s="40">
        <f t="shared" si="5"/>
        <v>1010.3960774009149</v>
      </c>
      <c r="J20" s="114"/>
      <c r="K20" s="30"/>
      <c r="L20" s="30"/>
      <c r="M20" s="40"/>
      <c r="N20" s="114">
        <f t="shared" si="5"/>
        <v>707.73990324923636</v>
      </c>
      <c r="O20" s="30">
        <f t="shared" si="5"/>
        <v>951.02026304033518</v>
      </c>
      <c r="P20" s="30"/>
      <c r="Q20" s="40">
        <f t="shared" si="5"/>
        <v>718.54677873582443</v>
      </c>
    </row>
    <row r="21" spans="1:17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 ht="13">
      <c r="A22" s="117" t="s">
        <v>35</v>
      </c>
      <c r="B22" s="119">
        <f t="shared" ref="B22:Q22" si="6">B18+B19+B20</f>
        <v>15942.088016634118</v>
      </c>
      <c r="C22" s="73">
        <f t="shared" si="6"/>
        <v>35795.26811344672</v>
      </c>
      <c r="D22" s="73"/>
      <c r="E22" s="75">
        <f t="shared" si="6"/>
        <v>16509.945753176609</v>
      </c>
      <c r="F22" s="119">
        <f t="shared" si="6"/>
        <v>4293.4325741769571</v>
      </c>
      <c r="G22" s="73">
        <f t="shared" si="6"/>
        <v>4301.0907562325137</v>
      </c>
      <c r="H22" s="73"/>
      <c r="I22" s="75">
        <f t="shared" si="6"/>
        <v>4295.6391690065248</v>
      </c>
      <c r="J22" s="119"/>
      <c r="K22" s="73"/>
      <c r="L22" s="73"/>
      <c r="M22" s="75"/>
      <c r="N22" s="119">
        <f t="shared" si="6"/>
        <v>15413.17609384147</v>
      </c>
      <c r="O22" s="73">
        <f t="shared" si="6"/>
        <v>23344.081716408546</v>
      </c>
      <c r="P22" s="73"/>
      <c r="Q22" s="75">
        <f t="shared" si="6"/>
        <v>15765.478719637316</v>
      </c>
    </row>
    <row r="23" spans="1:17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 ht="13">
      <c r="A24" s="378" t="str">
        <f>'Resid TSM Sum by Rate Schedule'!A25</f>
        <v>Annualized Transformer Cost at 8.05%</v>
      </c>
      <c r="B24" s="119">
        <f>B18*Inputs!$C$5</f>
        <v>1023.9827265895924</v>
      </c>
      <c r="C24" s="73">
        <f>C18*Inputs!$C$5</f>
        <v>2248.4908781449726</v>
      </c>
      <c r="D24" s="73"/>
      <c r="E24" s="75">
        <f>E18*Inputs!$C$5</f>
        <v>1059.0071621676339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977.48837576065966</v>
      </c>
      <c r="O24" s="73">
        <f>O18*Inputs!$C$5</f>
        <v>1359.5526239946344</v>
      </c>
      <c r="P24" s="73"/>
      <c r="Q24" s="75">
        <f>Q18*Inputs!$C$5</f>
        <v>994.46023802725119</v>
      </c>
    </row>
    <row r="25" spans="1:17" ht="13">
      <c r="A25" s="378" t="str">
        <f>'Resid TSM Sum by Rate Schedule'!A26</f>
        <v>Annualized Services Cost at 7.08%</v>
      </c>
      <c r="B25" s="119">
        <f>B19*Inputs!$C$6</f>
        <v>178.70590541316872</v>
      </c>
      <c r="C25" s="73">
        <f>C19*Inputs!$C$6</f>
        <v>491.72145944273802</v>
      </c>
      <c r="D25" s="73"/>
      <c r="E25" s="75">
        <f>E19*Inputs!$C$6</f>
        <v>187.6590455724303</v>
      </c>
      <c r="F25" s="119">
        <f>F19*Inputs!$C$6</f>
        <v>232.51327673155672</v>
      </c>
      <c r="G25" s="73">
        <f>G19*Inputs!$C$6</f>
        <v>232.51327673155669</v>
      </c>
      <c r="H25" s="73"/>
      <c r="I25" s="75">
        <f>I19*Inputs!$C$6</f>
        <v>232.51327673155674</v>
      </c>
      <c r="J25" s="119"/>
      <c r="K25" s="73"/>
      <c r="L25" s="73"/>
      <c r="M25" s="75"/>
      <c r="N25" s="119">
        <f>N19*Inputs!$C$6</f>
        <v>181.14905092167933</v>
      </c>
      <c r="O25" s="73">
        <f>O19*Inputs!$C$6</f>
        <v>389.24380581273618</v>
      </c>
      <c r="P25" s="73"/>
      <c r="Q25" s="75">
        <f>Q19*Inputs!$C$6</f>
        <v>190.39292949638534</v>
      </c>
    </row>
    <row r="26" spans="1:17" ht="16">
      <c r="A26" s="378" t="str">
        <f>'Resid TSM Sum by Rate Schedule'!A27</f>
        <v>Annualized Meter Cost at 10.78%</v>
      </c>
      <c r="B26" s="459">
        <f>B20*Inputs!$C$7</f>
        <v>74.730534731178707</v>
      </c>
      <c r="C26" s="458">
        <f>C20*Inputs!$C$7</f>
        <v>97.920164653697327</v>
      </c>
      <c r="D26" s="458"/>
      <c r="E26" s="457">
        <f>E20*Inputs!$C$7</f>
        <v>75.393824475937208</v>
      </c>
      <c r="F26" s="459">
        <f>F20*Inputs!$C$7</f>
        <v>108.64900080518923</v>
      </c>
      <c r="G26" s="458">
        <f>G20*Inputs!$C$7</f>
        <v>109.47429589376556</v>
      </c>
      <c r="H26" s="458"/>
      <c r="I26" s="457">
        <f>I20*Inputs!$C$7</f>
        <v>108.88679769511799</v>
      </c>
      <c r="J26" s="459"/>
      <c r="K26" s="458"/>
      <c r="L26" s="458"/>
      <c r="M26" s="457"/>
      <c r="N26" s="459">
        <f>N20*Inputs!$C$7</f>
        <v>76.27061643399864</v>
      </c>
      <c r="O26" s="458">
        <f>O20*Inputs!$C$7</f>
        <v>102.48807700442197</v>
      </c>
      <c r="P26" s="458"/>
      <c r="Q26" s="457">
        <f>Q20*Inputs!$C$7</f>
        <v>77.435235033717859</v>
      </c>
    </row>
    <row r="27" spans="1:17" ht="13">
      <c r="A27" s="453" t="s">
        <v>275</v>
      </c>
      <c r="B27" s="119">
        <f>SUM(B24:B26)</f>
        <v>1277.4191667339398</v>
      </c>
      <c r="C27" s="73">
        <f>SUM(C24:C26)</f>
        <v>2838.132502241408</v>
      </c>
      <c r="D27" s="73"/>
      <c r="E27" s="75">
        <f t="shared" ref="E27:Q27" si="7">SUM(E24:E26)</f>
        <v>1322.0600322160014</v>
      </c>
      <c r="F27" s="119">
        <f t="shared" si="7"/>
        <v>341.16227753674593</v>
      </c>
      <c r="G27" s="73">
        <f t="shared" si="7"/>
        <v>341.98757262532223</v>
      </c>
      <c r="H27" s="73"/>
      <c r="I27" s="75">
        <f t="shared" si="7"/>
        <v>341.40007442667473</v>
      </c>
      <c r="J27" s="119"/>
      <c r="K27" s="73"/>
      <c r="L27" s="73"/>
      <c r="M27" s="75"/>
      <c r="N27" s="119">
        <f t="shared" si="7"/>
        <v>1234.9080431163377</v>
      </c>
      <c r="O27" s="73">
        <f t="shared" si="7"/>
        <v>1851.2845068117924</v>
      </c>
      <c r="P27" s="73"/>
      <c r="Q27" s="75">
        <f t="shared" si="7"/>
        <v>1262.2884025573544</v>
      </c>
    </row>
    <row r="28" spans="1:17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 ht="13">
      <c r="A29" s="117" t="s">
        <v>50</v>
      </c>
      <c r="B29" s="115">
        <f>('Sch OL-TOU TSM Summary'!B29*'Sch OL-TOU Cust Fcst'!$F$39+'Sch AL-TOU TSM Summary'!B29*'Sch AL-TOU Cust Fcst'!$F$39+'Sch DG-R TSM Summary'!B29*'Sch DG-R Cust Fcst'!$F$39)/('Sch OL-TOU Cust Fcst'!$F$39+'Sch AL-TOU Cust Fcst'!$F$39+'Sch DG-R Cust Fcst'!$F$39)</f>
        <v>170.83053061297281</v>
      </c>
      <c r="C29" s="134">
        <f>('Sch OL-TOU TSM Summary'!E29*'Sch OL-TOU Cust Fcst'!$F$40+'Sch AL-TOU TSM Summary'!C29*'Sch AL-TOU Cust Fcst'!$F$40+'Sch DG-R TSM Summary'!C29*'Sch DG-R Cust Fcst'!$F$40)/('Sch OL-TOU Cust Fcst'!$F$40+'Sch AL-TOU Cust Fcst'!$F$40+'Sch DG-R Cust Fcst'!$F$40)</f>
        <v>170.70487183282648</v>
      </c>
      <c r="D29" s="134"/>
      <c r="E29" s="44">
        <f>('Sch OL-TOU TSM Summary'!E29*'Sch OL-TOU Cust Fcst'!$F$38+'Sch AL-TOU TSM Summary'!E29*'Sch AL-TOU Cust Fcst'!$F$38+'Sch DG-R TSM Summary'!E29*'Sch DG-R Cust Fcst'!$F$38)/('Sch OL-TOU Cust Fcst'!$F$38+'Sch AL-TOU Cust Fcst'!$F$38+'Sch DG-R Cust Fcst'!$F$38)</f>
        <v>170.82693641244055</v>
      </c>
      <c r="F29" s="115">
        <f>('Sch AL-TOU TSM Summary'!F29*'Sch AL-TOU Cust Fcst'!$G$39+'Sch DG-R TSM Summary'!F29*'Sch DG-R Cust Fcst'!$G$39+'Sch A6-TOU TSM Summary'!B29*'Sch A6-TOU Cust Fcst '!$B$39)/('Sch AL-TOU Cust Fcst'!$G$39+'Sch DG-R Cust Fcst'!$G$39+'Sch A6-TOU Cust Fcst '!$B$39)</f>
        <v>44.441372534140363</v>
      </c>
      <c r="G29" s="134">
        <f>('Sch AL-TOU TSM Summary'!G29*'Sch AL-TOU Cust Fcst'!$G$40+'Sch DG-R TSM Summary'!G29*'Sch DG-R Cust Fcst'!$G$40+'Sch A6-TOU TSM Summary'!C29*'Sch A6-TOU Cust Fcst '!$B$40)/('Sch AL-TOU Cust Fcst'!$G$40+'Sch DG-R Cust Fcst'!$G$40+'Sch A6-TOU Cust Fcst '!$B$40)</f>
        <v>44.459498994519592</v>
      </c>
      <c r="H29" s="134"/>
      <c r="I29" s="44">
        <f>('Sch AL-TOU TSM Summary'!I29*'Sch AL-TOU Cust Fcst'!$G$38+'Sch DG-R TSM Summary'!I29*'Sch DG-R Cust Fcst'!$G$38+'Sch A6-TOU TSM Summary'!E29*'Sch A6-TOU Cust Fcst '!$B$38)/('Sch AL-TOU Cust Fcst'!$G$38+'Sch DG-R Cust Fcst'!$G$38+'Sch A6-TOU Cust Fcst '!$B$38)</f>
        <v>44.446595412554721</v>
      </c>
      <c r="J29" s="115"/>
      <c r="K29" s="134"/>
      <c r="L29" s="134"/>
      <c r="M29" s="44"/>
      <c r="N29" s="115">
        <f>('Sch OL-TOU TSM Summary'!B29*'Sch OL-TOU Cust Fcst'!$H$39+'Sch AL-TOU TSM Summary'!N29*'Sch AL-TOU Cust Fcst'!$I$39+'Sch DG-R TSM Summary'!J29*'Sch DG-R Cust Fcst'!$H$39+'Sch A6-TOU TSM Summary'!J29*'Sch A6-TOU Cust Fcst '!$D$39)/('Sch OL-TOU Cust Fcst'!$H$39+'Sch AL-TOU Cust Fcst'!$I$39+'Sch DG-R Cust Fcst'!$H$39+'Sch A6-TOU Cust Fcst '!$D$39)</f>
        <v>163.25239225983938</v>
      </c>
      <c r="O29" s="134">
        <f>('Sch OL-TOU TSM Summary'!C29*'Sch OL-TOU Cust Fcst'!$H$40+'Sch AL-TOU TSM Summary'!O29*'Sch AL-TOU Cust Fcst'!$I$40+'Sch DG-R TSM Summary'!K29*'Sch DG-R Cust Fcst'!$H$40+'Sch A6-TOU TSM Summary'!K29*'Sch A6-TOU Cust Fcst '!$D$40)/('Sch OL-TOU Cust Fcst'!$H$40+'Sch AL-TOU Cust Fcst'!$I$40+'Sch DG-R Cust Fcst'!$H$40+'Sch A6-TOU Cust Fcst '!$D$40)</f>
        <v>160.36212762552989</v>
      </c>
      <c r="P29" s="134"/>
      <c r="Q29" s="44">
        <f>('Sch OL-TOU TSM Summary'!E29*'Sch OL-TOU Cust Fcst'!$H$38+'Sch AL-TOU TSM Summary'!Q29*'Sch AL-TOU Cust Fcst'!$I$38+'Sch DG-R TSM Summary'!M29*'Sch DG-R Cust Fcst'!$H$38+'Sch A6-TOU TSM Summary'!M29*'Sch A6-TOU Cust Fcst '!$D$38)/('Sch OL-TOU Cust Fcst'!$H$38+'Sch AL-TOU Cust Fcst'!$I$38+'Sch DG-R Cust Fcst'!$H$38+'Sch A6-TOU Cust Fcst '!$D$38)</f>
        <v>163.12400240521612</v>
      </c>
    </row>
    <row r="30" spans="1:17" ht="13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0"/>
      <c r="O30" s="27"/>
      <c r="P30" s="27"/>
      <c r="Q30" s="81"/>
    </row>
    <row r="31" spans="1:17" ht="13">
      <c r="A31" s="117" t="s">
        <v>57</v>
      </c>
      <c r="B31" s="115">
        <f>('Sch OL-TOU TSM Summary'!B31*'Sch OL-TOU Cust Fcst'!$F$39+'Sch AL-TOU TSM Summary'!B31*'Sch AL-TOU Cust Fcst'!$F$39+'Sch DG-R TSM Summary'!B31*'Sch DG-R Cust Fcst'!$F$39)/('Sch OL-TOU Cust Fcst'!$F$39+'Sch AL-TOU Cust Fcst'!$F$39+'Sch DG-R Cust Fcst'!$F$39)</f>
        <v>447.86258547437507</v>
      </c>
      <c r="C31" s="134">
        <f>('Sch OL-TOU TSM Summary'!E31*'Sch OL-TOU Cust Fcst'!$F$40+'Sch AL-TOU TSM Summary'!C31*'Sch AL-TOU Cust Fcst'!$F$40+'Sch DG-R TSM Summary'!C31*'Sch DG-R Cust Fcst'!$F$40)/('Sch OL-TOU Cust Fcst'!$F$40+'Sch AL-TOU Cust Fcst'!$F$40+'Sch DG-R Cust Fcst'!$F$40)</f>
        <v>447.86258547437507</v>
      </c>
      <c r="D31" s="134"/>
      <c r="E31" s="44">
        <f>('Sch OL-TOU TSM Summary'!E31*'Sch OL-TOU Cust Fcst'!$F$38+'Sch AL-TOU TSM Summary'!E31*'Sch AL-TOU Cust Fcst'!$F$38+'Sch DG-R TSM Summary'!E31*'Sch DG-R Cust Fcst'!$F$38)/('Sch OL-TOU Cust Fcst'!$F$38+'Sch AL-TOU Cust Fcst'!$F$38+'Sch DG-R Cust Fcst'!$F$38)</f>
        <v>447.86258547437507</v>
      </c>
      <c r="F31" s="115">
        <f>('Sch AL-TOU TSM Summary'!F31*'Sch AL-TOU Cust Fcst'!$G$39+'Sch DG-R TSM Summary'!F31*'Sch DG-R Cust Fcst'!$G$39+'Sch A6-TOU TSM Summary'!B31*'Sch A6-TOU Cust Fcst '!$B$39)/('Sch AL-TOU Cust Fcst'!$G$39+'Sch DG-R Cust Fcst'!$G$39+'Sch A6-TOU Cust Fcst '!$B$39)</f>
        <v>447.86258547437512</v>
      </c>
      <c r="G31" s="134">
        <f>('Sch AL-TOU TSM Summary'!G31*'Sch AL-TOU Cust Fcst'!$G$40+'Sch DG-R TSM Summary'!G31*'Sch DG-R Cust Fcst'!$G$40+'Sch A6-TOU TSM Summary'!C31*'Sch A6-TOU Cust Fcst '!$B$40)/('Sch AL-TOU Cust Fcst'!$G$40+'Sch DG-R Cust Fcst'!$G$40+'Sch A6-TOU Cust Fcst '!$B$40)</f>
        <v>447.86258547437512</v>
      </c>
      <c r="H31" s="134"/>
      <c r="I31" s="44">
        <f>('Sch AL-TOU TSM Summary'!I31*'Sch AL-TOU Cust Fcst'!$G$38+'Sch DG-R TSM Summary'!I31*'Sch DG-R Cust Fcst'!$G$38+'Sch A6-TOU TSM Summary'!E31*'Sch A6-TOU Cust Fcst '!$B$38)/('Sch AL-TOU Cust Fcst'!$G$38+'Sch DG-R Cust Fcst'!$G$38+'Sch A6-TOU Cust Fcst '!$B$38)</f>
        <v>447.86258547437512</v>
      </c>
      <c r="J31" s="115"/>
      <c r="K31" s="134"/>
      <c r="L31" s="134"/>
      <c r="M31" s="44"/>
      <c r="N31" s="115">
        <f>('Sch OL-TOU TSM Summary'!B31*'Sch OL-TOU Cust Fcst'!$H$39+'Sch AL-TOU TSM Summary'!N31*'Sch AL-TOU Cust Fcst'!$I$39+'Sch DG-R TSM Summary'!J31*'Sch DG-R Cust Fcst'!$H$39+'Sch A6-TOU TSM Summary'!J31*'Sch A6-TOU Cust Fcst '!$D$39)/('Sch OL-TOU Cust Fcst'!$H$39+'Sch AL-TOU Cust Fcst'!$I$39+'Sch DG-R Cust Fcst'!$H$39+'Sch A6-TOU Cust Fcst '!$D$39)</f>
        <v>447.86258547437501</v>
      </c>
      <c r="O31" s="134">
        <f>('Sch OL-TOU TSM Summary'!C31*'Sch OL-TOU Cust Fcst'!$H$40+'Sch AL-TOU TSM Summary'!O31*'Sch AL-TOU Cust Fcst'!$I$40+'Sch DG-R TSM Summary'!K31*'Sch DG-R Cust Fcst'!$H$40+'Sch A6-TOU TSM Summary'!K31*'Sch A6-TOU Cust Fcst '!$D$40)/('Sch OL-TOU Cust Fcst'!$H$40+'Sch AL-TOU Cust Fcst'!$I$40+'Sch DG-R Cust Fcst'!$H$40+'Sch A6-TOU Cust Fcst '!$D$40)</f>
        <v>447.86258547437512</v>
      </c>
      <c r="P31" s="134"/>
      <c r="Q31" s="44">
        <f>('Sch OL-TOU TSM Summary'!E31*'Sch OL-TOU Cust Fcst'!$H$38+'Sch AL-TOU TSM Summary'!Q31*'Sch AL-TOU Cust Fcst'!$I$38+'Sch DG-R TSM Summary'!M31*'Sch DG-R Cust Fcst'!$H$38+'Sch A6-TOU TSM Summary'!M31*'Sch A6-TOU Cust Fcst '!$D$38)/('Sch OL-TOU Cust Fcst'!$H$38+'Sch AL-TOU Cust Fcst'!$I$38+'Sch DG-R Cust Fcst'!$H$38+'Sch A6-TOU Cust Fcst '!$D$38)</f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79" t="s">
        <v>126</v>
      </c>
      <c r="B33" s="279">
        <f t="shared" ref="B33:Q33" si="8">B27+B29+B31</f>
        <v>1896.1122828212876</v>
      </c>
      <c r="C33" s="280">
        <f>C27+C29+C31</f>
        <v>3456.6999595486095</v>
      </c>
      <c r="D33" s="280"/>
      <c r="E33" s="291">
        <f t="shared" si="8"/>
        <v>1940.749554102817</v>
      </c>
      <c r="F33" s="279">
        <f t="shared" si="8"/>
        <v>833.4662355452615</v>
      </c>
      <c r="G33" s="280">
        <f t="shared" si="8"/>
        <v>834.30965709421696</v>
      </c>
      <c r="H33" s="280"/>
      <c r="I33" s="291">
        <f t="shared" si="8"/>
        <v>833.70925531360456</v>
      </c>
      <c r="J33" s="279"/>
      <c r="K33" s="280"/>
      <c r="L33" s="280"/>
      <c r="M33" s="291"/>
      <c r="N33" s="279">
        <f t="shared" si="8"/>
        <v>1846.023020850552</v>
      </c>
      <c r="O33" s="280">
        <f t="shared" si="8"/>
        <v>2459.5092199116975</v>
      </c>
      <c r="P33" s="280"/>
      <c r="Q33" s="291">
        <f t="shared" si="8"/>
        <v>1873.2749904369455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72">
    <tabColor rgb="FFFFC000"/>
  </sheetPr>
  <dimension ref="A1:Q58"/>
  <sheetViews>
    <sheetView zoomScaleNormal="100" workbookViewId="0">
      <selection activeCell="C8" sqref="C8"/>
    </sheetView>
  </sheetViews>
  <sheetFormatPr defaultRowHeight="12.5"/>
  <cols>
    <col min="1" max="1" width="40.7265625" customWidth="1"/>
    <col min="2" max="2" width="10.26953125" style="12" customWidth="1"/>
    <col min="3" max="3" width="17.1796875" style="12" bestFit="1" customWidth="1"/>
    <col min="4" max="4" width="8.7265625" style="12" bestFit="1" customWidth="1"/>
    <col min="5" max="5" width="14.7265625" style="12" bestFit="1" customWidth="1"/>
    <col min="6" max="6" width="14" style="12" bestFit="1" customWidth="1"/>
    <col min="7" max="7" width="17.1796875" style="12" bestFit="1" customWidth="1"/>
    <col min="8" max="8" width="14.81640625" style="12" bestFit="1" customWidth="1"/>
    <col min="9" max="9" width="14" style="12" bestFit="1" customWidth="1"/>
    <col min="10" max="10" width="15.1796875" style="12" bestFit="1" customWidth="1"/>
    <col min="11" max="11" width="17.1796875" style="12" bestFit="1" customWidth="1"/>
    <col min="12" max="12" width="16.26953125" style="12" bestFit="1" customWidth="1"/>
    <col min="13" max="13" width="14.81640625" style="12" bestFit="1" customWidth="1"/>
    <col min="14" max="14" width="14.7265625" bestFit="1" customWidth="1"/>
    <col min="15" max="15" width="17.1796875" bestFit="1" customWidth="1"/>
    <col min="16" max="16" width="16.54296875" bestFit="1" customWidth="1"/>
    <col min="17" max="17" width="14.7265625" bestFit="1" customWidth="1"/>
  </cols>
  <sheetData>
    <row r="1" spans="1:17" ht="18.5" thickBot="1">
      <c r="A1" s="735" t="s">
        <v>321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188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2</v>
      </c>
      <c r="F3" s="298" t="s">
        <v>144</v>
      </c>
      <c r="G3" s="299" t="s">
        <v>119</v>
      </c>
      <c r="H3" s="299" t="s">
        <v>85</v>
      </c>
      <c r="I3" s="445" t="s">
        <v>2</v>
      </c>
      <c r="J3" s="298" t="s">
        <v>144</v>
      </c>
      <c r="K3" s="299" t="s">
        <v>119</v>
      </c>
      <c r="L3" s="299" t="s">
        <v>85</v>
      </c>
      <c r="M3" s="445" t="s">
        <v>2</v>
      </c>
      <c r="N3" s="298" t="s">
        <v>144</v>
      </c>
      <c r="O3" s="299" t="s">
        <v>119</v>
      </c>
      <c r="P3" s="299" t="s">
        <v>85</v>
      </c>
      <c r="Q3" s="445" t="s">
        <v>2</v>
      </c>
    </row>
    <row r="4" spans="1:17" ht="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 ht="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 ht="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 ht="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 ht="13">
      <c r="A8" s="117" t="s">
        <v>53</v>
      </c>
      <c r="B8" s="115">
        <f>'M-L C&amp;I TSM Summary'!B8*Inputs!$C$12</f>
        <v>13154.247854797635</v>
      </c>
      <c r="C8" s="134">
        <f>'M-L C&amp;I TSM Summary'!C8*Inputs!$C$12</f>
        <v>28884.477777157823</v>
      </c>
      <c r="D8" s="134"/>
      <c r="E8" s="44">
        <f>'M-L C&amp;I TSM Summary'!E8*Inputs!$C$12</f>
        <v>13604.177423534007</v>
      </c>
      <c r="F8" s="115">
        <f>'M-L C&amp;I TSM Summary'!F8*Inputs!$C$12</f>
        <v>0</v>
      </c>
      <c r="G8" s="134">
        <f>'M-L C&amp;I TSM Summary'!G8*Inputs!$C$12</f>
        <v>0</v>
      </c>
      <c r="H8" s="134"/>
      <c r="I8" s="44">
        <f>'M-L C&amp;I TSM Summary'!I8*Inputs!$C$12</f>
        <v>0</v>
      </c>
      <c r="J8" s="115"/>
      <c r="K8" s="134"/>
      <c r="L8" s="134"/>
      <c r="M8" s="44"/>
      <c r="N8" s="115">
        <f>'M-L C&amp;I TSM Summary'!N8*Inputs!$C$12</f>
        <v>12556.973898147366</v>
      </c>
      <c r="O8" s="134">
        <f>'M-L C&amp;I TSM Summary'!O8*Inputs!$C$12</f>
        <v>17465.033074560542</v>
      </c>
      <c r="P8" s="134"/>
      <c r="Q8" s="44">
        <f>'M-L C&amp;I TSM Summary'!Q8*Inputs!$C$12</f>
        <v>12774.997188008691</v>
      </c>
    </row>
    <row r="9" spans="1:17" ht="13">
      <c r="A9" s="117" t="s">
        <v>51</v>
      </c>
      <c r="B9" s="115">
        <f>'M-L C&amp;I TSM Summary'!B9*Inputs!$C$12</f>
        <v>2610.434488458824</v>
      </c>
      <c r="C9" s="134">
        <f>'M-L C&amp;I TSM Summary'!C9*Inputs!$C$12</f>
        <v>7182.7881315781187</v>
      </c>
      <c r="D9" s="134"/>
      <c r="E9" s="44">
        <f>'M-L C&amp;I TSM Summary'!E9*Inputs!$C$12</f>
        <v>2741.2168808912788</v>
      </c>
      <c r="F9" s="115">
        <f>'M-L C&amp;I TSM Summary'!F9*Inputs!$C$12</f>
        <v>3396.4220443713425</v>
      </c>
      <c r="G9" s="134">
        <f>'M-L C&amp;I TSM Summary'!G9*Inputs!$C$12</f>
        <v>3396.4220443713421</v>
      </c>
      <c r="H9" s="134"/>
      <c r="I9" s="44">
        <f>'M-L C&amp;I TSM Summary'!I9*Inputs!$C$12</f>
        <v>3396.422044371343</v>
      </c>
      <c r="J9" s="115"/>
      <c r="K9" s="134"/>
      <c r="L9" s="134"/>
      <c r="M9" s="44"/>
      <c r="N9" s="115">
        <f>'M-L C&amp;I TSM Summary'!N9*Inputs!$C$12</f>
        <v>2646.1225720786356</v>
      </c>
      <c r="O9" s="134">
        <f>'M-L C&amp;I TSM Summary'!O9*Inputs!$C$12</f>
        <v>5685.8527017521856</v>
      </c>
      <c r="P9" s="134"/>
      <c r="Q9" s="44">
        <f>'M-L C&amp;I TSM Summary'!Q9*Inputs!$C$12</f>
        <v>2781.1519063513242</v>
      </c>
    </row>
    <row r="10" spans="1:17" ht="13">
      <c r="A10" s="117" t="s">
        <v>52</v>
      </c>
      <c r="B10" s="115">
        <f>'M-L C&amp;I TSM Summary'!B10*Inputs!$C$12</f>
        <v>716.91663228276536</v>
      </c>
      <c r="C10" s="134">
        <f>'M-L C&amp;I TSM Summary'!C10*Inputs!$C$12</f>
        <v>939.38301028660806</v>
      </c>
      <c r="D10" s="134"/>
      <c r="E10" s="44">
        <f>'M-L C&amp;I TSM Summary'!E10*Inputs!$C$12</f>
        <v>723.27980701114814</v>
      </c>
      <c r="F10" s="115">
        <f>'M-L C&amp;I TSM Summary'!F10*Inputs!$C$12</f>
        <v>1042.3085561790569</v>
      </c>
      <c r="G10" s="134">
        <f>'M-L C&amp;I TSM Summary'!G10*Inputs!$C$12</f>
        <v>1050.2259058630914</v>
      </c>
      <c r="H10" s="134"/>
      <c r="I10" s="44">
        <f>'M-L C&amp;I TSM Summary'!I10*Inputs!$C$12</f>
        <v>1044.5898264269988</v>
      </c>
      <c r="J10" s="115"/>
      <c r="K10" s="134"/>
      <c r="L10" s="134"/>
      <c r="M10" s="44"/>
      <c r="N10" s="115">
        <f>'M-L C&amp;I TSM Summary'!N10*Inputs!$C$12</f>
        <v>731.69118450292126</v>
      </c>
      <c r="O10" s="134">
        <f>'M-L C&amp;I TSM Summary'!O10*Inputs!$C$12</f>
        <v>983.20462016568285</v>
      </c>
      <c r="P10" s="134"/>
      <c r="Q10" s="44">
        <f>'M-L C&amp;I TSM Summary'!Q10*Inputs!$C$12</f>
        <v>742.8637854672794</v>
      </c>
    </row>
    <row r="11" spans="1:17" ht="13">
      <c r="A11" s="376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 ht="13">
      <c r="A12" s="117" t="s">
        <v>35</v>
      </c>
      <c r="B12" s="114">
        <f t="shared" ref="B12:I12" si="0">SUM(B8:B10)</f>
        <v>16481.598975539226</v>
      </c>
      <c r="C12" s="30">
        <f t="shared" si="0"/>
        <v>37006.648919022547</v>
      </c>
      <c r="D12" s="30"/>
      <c r="E12" s="40">
        <f t="shared" si="0"/>
        <v>17068.674111436434</v>
      </c>
      <c r="F12" s="114">
        <f t="shared" si="0"/>
        <v>4438.7306005503997</v>
      </c>
      <c r="G12" s="30">
        <f t="shared" si="0"/>
        <v>4446.6479502344337</v>
      </c>
      <c r="H12" s="30"/>
      <c r="I12" s="40">
        <f t="shared" si="0"/>
        <v>4441.011870798342</v>
      </c>
      <c r="J12" s="114"/>
      <c r="K12" s="30"/>
      <c r="L12" s="30"/>
      <c r="M12" s="40"/>
      <c r="N12" s="114">
        <f t="shared" ref="N12:Q12" si="1">SUM(N8:N10)</f>
        <v>15934.787654728922</v>
      </c>
      <c r="O12" s="30">
        <f t="shared" si="1"/>
        <v>24134.090396478408</v>
      </c>
      <c r="P12" s="30"/>
      <c r="Q12" s="40">
        <f t="shared" si="1"/>
        <v>16299.012879827294</v>
      </c>
    </row>
    <row r="13" spans="1:17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 ht="13">
      <c r="A15" s="377">
        <f>Inputs!C3</f>
        <v>2.9094935671404847E-2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 ht="13">
      <c r="A17" s="47">
        <f>Inputs!C4</f>
        <v>1.99475E-2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 ht="13">
      <c r="A18" s="378" t="s">
        <v>92</v>
      </c>
      <c r="B18" s="114">
        <f>(B8*(1+$A$15)*(1+$A$17))</f>
        <v>13806.998556020339</v>
      </c>
      <c r="C18" s="30">
        <f t="shared" ref="C18:E18" si="2">(C8*(1+$A$15)*(1+$A$17))</f>
        <v>30317.806640321578</v>
      </c>
      <c r="D18" s="30"/>
      <c r="E18" s="40">
        <f t="shared" si="2"/>
        <v>14279.254892865034</v>
      </c>
      <c r="F18" s="114">
        <f t="shared" ref="F18:Q18" si="3">(F8*(1+$A$15)*(1+$A$17))</f>
        <v>0</v>
      </c>
      <c r="G18" s="30">
        <f t="shared" si="3"/>
        <v>0</v>
      </c>
      <c r="H18" s="30"/>
      <c r="I18" s="40">
        <f t="shared" si="3"/>
        <v>0</v>
      </c>
      <c r="J18" s="114"/>
      <c r="K18" s="30"/>
      <c r="L18" s="30"/>
      <c r="M18" s="40"/>
      <c r="N18" s="114">
        <f t="shared" si="3"/>
        <v>13180.086189152389</v>
      </c>
      <c r="O18" s="30">
        <f t="shared" si="3"/>
        <v>18331.697038333976</v>
      </c>
      <c r="P18" s="30"/>
      <c r="Q18" s="40">
        <f t="shared" si="3"/>
        <v>13408.928406626359</v>
      </c>
    </row>
    <row r="19" spans="1:17" ht="13">
      <c r="A19" s="378" t="s">
        <v>51</v>
      </c>
      <c r="B19" s="114">
        <f t="shared" ref="B19:E20" si="4">(B9*(1+$A$15)*(1+$A$17))</f>
        <v>2739.9715750065702</v>
      </c>
      <c r="C19" s="30">
        <f t="shared" si="4"/>
        <v>7539.2182400401325</v>
      </c>
      <c r="D19" s="30"/>
      <c r="E19" s="40">
        <f t="shared" si="4"/>
        <v>2877.2437568447135</v>
      </c>
      <c r="F19" s="114">
        <f t="shared" ref="F19:Q19" si="5">(F9*(1+$A$15)*(1+$A$17))</f>
        <v>3564.9620396324967</v>
      </c>
      <c r="G19" s="30">
        <f t="shared" si="5"/>
        <v>3564.9620396324963</v>
      </c>
      <c r="H19" s="30"/>
      <c r="I19" s="40">
        <f t="shared" si="5"/>
        <v>3564.9620396324972</v>
      </c>
      <c r="J19" s="114"/>
      <c r="K19" s="30"/>
      <c r="L19" s="30"/>
      <c r="M19" s="40"/>
      <c r="N19" s="114">
        <f t="shared" si="5"/>
        <v>2777.430601508504</v>
      </c>
      <c r="O19" s="30">
        <f t="shared" si="5"/>
        <v>5968.0006724371151</v>
      </c>
      <c r="P19" s="30"/>
      <c r="Q19" s="40">
        <f t="shared" si="5"/>
        <v>2919.1604703617381</v>
      </c>
    </row>
    <row r="20" spans="1:17" ht="13">
      <c r="A20" s="378" t="s">
        <v>52</v>
      </c>
      <c r="B20" s="114">
        <f t="shared" si="4"/>
        <v>752.49204789044052</v>
      </c>
      <c r="C20" s="30">
        <f t="shared" si="4"/>
        <v>985.99783201186813</v>
      </c>
      <c r="D20" s="30"/>
      <c r="E20" s="40">
        <f t="shared" si="4"/>
        <v>759.17098120964522</v>
      </c>
      <c r="F20" s="114">
        <f t="shared" ref="F20:Q20" si="6">(F10*(1+$A$15)*(1+$A$17))</f>
        <v>1094.0308323932882</v>
      </c>
      <c r="G20" s="30">
        <f t="shared" si="6"/>
        <v>1102.3410631918591</v>
      </c>
      <c r="H20" s="30"/>
      <c r="I20" s="40">
        <f t="shared" si="6"/>
        <v>1096.425305674232</v>
      </c>
      <c r="J20" s="114"/>
      <c r="K20" s="30"/>
      <c r="L20" s="30"/>
      <c r="M20" s="40"/>
      <c r="N20" s="114">
        <f t="shared" si="6"/>
        <v>767.9997548624616</v>
      </c>
      <c r="O20" s="30">
        <f t="shared" si="6"/>
        <v>1031.9939931760505</v>
      </c>
      <c r="P20" s="30"/>
      <c r="Q20" s="40">
        <f t="shared" si="6"/>
        <v>779.72677164705271</v>
      </c>
    </row>
    <row r="21" spans="1:17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 ht="13">
      <c r="A22" s="117" t="s">
        <v>35</v>
      </c>
      <c r="B22" s="119">
        <f t="shared" ref="B22:Q22" si="7">B18+B19+B20</f>
        <v>17299.462178917347</v>
      </c>
      <c r="C22" s="73">
        <f t="shared" si="7"/>
        <v>38843.022712373582</v>
      </c>
      <c r="D22" s="73"/>
      <c r="E22" s="75">
        <f t="shared" si="7"/>
        <v>17915.669630919394</v>
      </c>
      <c r="F22" s="119">
        <f t="shared" si="7"/>
        <v>4658.9928720257849</v>
      </c>
      <c r="G22" s="73">
        <f t="shared" si="7"/>
        <v>4667.3031028243549</v>
      </c>
      <c r="H22" s="73"/>
      <c r="I22" s="75">
        <f t="shared" si="7"/>
        <v>4661.387345306729</v>
      </c>
      <c r="J22" s="119"/>
      <c r="K22" s="73"/>
      <c r="L22" s="73"/>
      <c r="M22" s="75"/>
      <c r="N22" s="119">
        <f t="shared" si="7"/>
        <v>16725.516545523355</v>
      </c>
      <c r="O22" s="73">
        <f t="shared" si="7"/>
        <v>25331.691703947141</v>
      </c>
      <c r="P22" s="73"/>
      <c r="Q22" s="75">
        <f t="shared" si="7"/>
        <v>17107.815648635151</v>
      </c>
    </row>
    <row r="23" spans="1:17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 ht="13">
      <c r="A24" s="378" t="str">
        <f>'Resid TSM Sum by Rate Schedule'!A25</f>
        <v>Annualized Transformer Cost at 8.05%</v>
      </c>
      <c r="B24" s="119">
        <f>B18*Inputs!$C$5</f>
        <v>1111.1687773908918</v>
      </c>
      <c r="C24" s="73">
        <f>C18*Inputs!$C$5</f>
        <v>2439.9365293632441</v>
      </c>
      <c r="D24" s="73"/>
      <c r="E24" s="75">
        <f>E18*Inputs!$C$5</f>
        <v>1149.1753357531368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1060.7157085796298</v>
      </c>
      <c r="O24" s="73">
        <f>O18*Inputs!$C$5</f>
        <v>1475.3104596149847</v>
      </c>
      <c r="P24" s="73"/>
      <c r="Q24" s="75">
        <f>Q18*Inputs!$C$5</f>
        <v>1079.1326241731419</v>
      </c>
    </row>
    <row r="25" spans="1:17" ht="13">
      <c r="A25" s="378" t="str">
        <f>'Resid TSM Sum by Rate Schedule'!A26</f>
        <v>Annualized Services Cost at 7.08%</v>
      </c>
      <c r="B25" s="119">
        <f>B19*Inputs!$C$6</f>
        <v>193.92165245973914</v>
      </c>
      <c r="C25" s="73">
        <f>C19*Inputs!$C$6</f>
        <v>533.58862285265968</v>
      </c>
      <c r="D25" s="73"/>
      <c r="E25" s="75">
        <f>E19*Inputs!$C$6</f>
        <v>203.63709935766644</v>
      </c>
      <c r="F25" s="119">
        <f>F19*Inputs!$C$6</f>
        <v>252.31040204499863</v>
      </c>
      <c r="G25" s="73">
        <f>G19*Inputs!$C$6</f>
        <v>252.3104020449986</v>
      </c>
      <c r="H25" s="73"/>
      <c r="I25" s="75">
        <f>I19*Inputs!$C$6</f>
        <v>252.31040204499865</v>
      </c>
      <c r="J25" s="119"/>
      <c r="K25" s="73"/>
      <c r="L25" s="73"/>
      <c r="M25" s="75"/>
      <c r="N25" s="119">
        <f>N19*Inputs!$C$6</f>
        <v>196.57281730577253</v>
      </c>
      <c r="O25" s="73">
        <f>O19*Inputs!$C$6</f>
        <v>422.38560532404961</v>
      </c>
      <c r="P25" s="73"/>
      <c r="Q25" s="75">
        <f>Q19*Inputs!$C$6</f>
        <v>206.60375726939438</v>
      </c>
    </row>
    <row r="26" spans="1:17" ht="16">
      <c r="A26" s="378" t="str">
        <f>'Resid TSM Sum by Rate Schedule'!A27</f>
        <v>Annualized Meter Cost at 10.78%</v>
      </c>
      <c r="B26" s="459">
        <f>B20*Inputs!$C$7</f>
        <v>81.093396162621758</v>
      </c>
      <c r="C26" s="458">
        <f>C20*Inputs!$C$7</f>
        <v>106.25748541925604</v>
      </c>
      <c r="D26" s="458"/>
      <c r="E26" s="457">
        <f>E20*Inputs!$C$7</f>
        <v>81.813161091854425</v>
      </c>
      <c r="F26" s="459">
        <f>F20*Inputs!$C$7</f>
        <v>117.89981828260969</v>
      </c>
      <c r="G26" s="458">
        <f>G20*Inputs!$C$7</f>
        <v>118.79538234902152</v>
      </c>
      <c r="H26" s="458"/>
      <c r="I26" s="457">
        <f>I20*Inputs!$C$7</f>
        <v>118.15786216615206</v>
      </c>
      <c r="J26" s="459"/>
      <c r="K26" s="458"/>
      <c r="L26" s="458"/>
      <c r="M26" s="457"/>
      <c r="N26" s="459">
        <f>N20*Inputs!$C$7</f>
        <v>82.764606680502283</v>
      </c>
      <c r="O26" s="458">
        <f>O20*Inputs!$C$7</f>
        <v>111.21432839148889</v>
      </c>
      <c r="P26" s="458"/>
      <c r="Q26" s="457">
        <f>Q20*Inputs!$C$7</f>
        <v>84.028385640804359</v>
      </c>
    </row>
    <row r="27" spans="1:17" ht="13">
      <c r="A27" s="453" t="s">
        <v>275</v>
      </c>
      <c r="B27" s="119">
        <f>SUM(B24:B26)</f>
        <v>1386.1838260132527</v>
      </c>
      <c r="C27" s="73">
        <f t="shared" ref="C27:Q27" si="8">SUM(C24:C26)</f>
        <v>3079.78263763516</v>
      </c>
      <c r="D27" s="73"/>
      <c r="E27" s="75">
        <f t="shared" si="8"/>
        <v>1434.6255962026576</v>
      </c>
      <c r="F27" s="119">
        <f t="shared" si="8"/>
        <v>370.21022032760834</v>
      </c>
      <c r="G27" s="73">
        <f t="shared" si="8"/>
        <v>371.10578439402013</v>
      </c>
      <c r="H27" s="73"/>
      <c r="I27" s="75">
        <f t="shared" si="8"/>
        <v>370.46826421115071</v>
      </c>
      <c r="J27" s="119"/>
      <c r="K27" s="73"/>
      <c r="L27" s="73"/>
      <c r="M27" s="75"/>
      <c r="N27" s="119">
        <f t="shared" si="8"/>
        <v>1340.0531325659047</v>
      </c>
      <c r="O27" s="73">
        <f t="shared" si="8"/>
        <v>2008.9103933305232</v>
      </c>
      <c r="P27" s="73"/>
      <c r="Q27" s="75">
        <f t="shared" si="8"/>
        <v>1369.7647670833408</v>
      </c>
    </row>
    <row r="28" spans="1:17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 ht="13">
      <c r="A29" s="36" t="s">
        <v>50</v>
      </c>
      <c r="B29" s="115">
        <f>'M-L C&amp;I TSM Summary'!B$29*Inputs!$C$13</f>
        <v>179.97811837894173</v>
      </c>
      <c r="C29" s="134">
        <f>'M-L C&amp;I TSM Summary'!C$29*Inputs!$C$13</f>
        <v>179.84573085589548</v>
      </c>
      <c r="D29" s="134"/>
      <c r="E29" s="44">
        <f>'M-L C&amp;I TSM Summary'!E$29*Inputs!$C$13</f>
        <v>179.9743317171164</v>
      </c>
      <c r="F29" s="115">
        <f>'M-L C&amp;I TSM Summary'!F$29*Inputs!$C$13</f>
        <v>46.821107317129432</v>
      </c>
      <c r="G29" s="134">
        <f>'M-L C&amp;I TSM Summary'!G$29*Inputs!$C$13</f>
        <v>46.840204408382483</v>
      </c>
      <c r="H29" s="134"/>
      <c r="I29" s="44">
        <f>'M-L C&amp;I TSM Summary'!I$29*Inputs!$C$13</f>
        <v>46.826609868846418</v>
      </c>
      <c r="J29" s="115"/>
      <c r="K29" s="134"/>
      <c r="L29" s="134"/>
      <c r="M29" s="44"/>
      <c r="N29" s="115">
        <f>'M-L C&amp;I TSM Summary'!N$29*Inputs!$C$13</f>
        <v>171.99418789111667</v>
      </c>
      <c r="O29" s="134">
        <f>'M-L C&amp;I TSM Summary'!O$29*Inputs!$C$13</f>
        <v>168.94915613576416</v>
      </c>
      <c r="P29" s="134"/>
      <c r="Q29" s="44">
        <f>'M-L C&amp;I TSM Summary'!Q$29*Inputs!$C$13</f>
        <v>171.85892305074458</v>
      </c>
    </row>
    <row r="30" spans="1:17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5"/>
      <c r="E30" s="547">
        <f>-Inputs!$C$18</f>
        <v>-3.0284021924274875</v>
      </c>
      <c r="F30" s="546">
        <f>-Inputs!$C$18</f>
        <v>-3.0284021924274875</v>
      </c>
      <c r="G30" s="545">
        <f>-Inputs!$C$18</f>
        <v>-3.0284021924274875</v>
      </c>
      <c r="H30" s="545"/>
      <c r="I30" s="547">
        <f>-Inputs!$C$18</f>
        <v>-3.0284021924274875</v>
      </c>
      <c r="J30" s="546"/>
      <c r="K30" s="545"/>
      <c r="L30" s="545"/>
      <c r="M30" s="547"/>
      <c r="N30" s="546">
        <f>-Inputs!$C$18</f>
        <v>-3.0284021924274875</v>
      </c>
      <c r="O30" s="545">
        <f>-Inputs!$C$18</f>
        <v>-3.0284021924274875</v>
      </c>
      <c r="P30" s="545"/>
      <c r="Q30" s="547">
        <f>-Inputs!$C$18</f>
        <v>-3.0284021924274875</v>
      </c>
    </row>
    <row r="31" spans="1:17" ht="13">
      <c r="A31" s="36" t="s">
        <v>328</v>
      </c>
      <c r="B31" s="115">
        <f>B29+B30</f>
        <v>176.94971618651425</v>
      </c>
      <c r="C31" s="134">
        <f t="shared" ref="C31:Q31" si="9">C29+C30</f>
        <v>176.817328663468</v>
      </c>
      <c r="D31" s="134"/>
      <c r="E31" s="44">
        <f t="shared" si="9"/>
        <v>176.94592952468892</v>
      </c>
      <c r="F31" s="115">
        <f t="shared" si="9"/>
        <v>43.792705124701946</v>
      </c>
      <c r="G31" s="134">
        <f t="shared" si="9"/>
        <v>43.811802215954998</v>
      </c>
      <c r="H31" s="134"/>
      <c r="I31" s="44">
        <f t="shared" si="9"/>
        <v>43.798207676418933</v>
      </c>
      <c r="J31" s="115"/>
      <c r="K31" s="134"/>
      <c r="L31" s="134"/>
      <c r="M31" s="44"/>
      <c r="N31" s="115">
        <f t="shared" si="9"/>
        <v>168.96578569868919</v>
      </c>
      <c r="O31" s="134">
        <f t="shared" si="9"/>
        <v>165.92075394333668</v>
      </c>
      <c r="P31" s="134"/>
      <c r="Q31" s="44">
        <f t="shared" si="9"/>
        <v>168.8305208583171</v>
      </c>
    </row>
    <row r="32" spans="1:17" ht="13">
      <c r="A32" s="118"/>
      <c r="B32" s="10"/>
      <c r="C32" s="27"/>
      <c r="D32" s="27"/>
      <c r="E32" s="81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 ht="13">
      <c r="A33" s="117" t="s">
        <v>57</v>
      </c>
      <c r="B33" s="115">
        <f>'M-L C&amp;I TSM Summary'!B31*Inputs!$C$14</f>
        <v>481.55031066335573</v>
      </c>
      <c r="C33" s="134">
        <f>'M-L C&amp;I TSM Summary'!C31*Inputs!$C$14</f>
        <v>481.55031066335573</v>
      </c>
      <c r="D33" s="134"/>
      <c r="E33" s="44">
        <f>'M-L C&amp;I TSM Summary'!E31*Inputs!$C$14</f>
        <v>481.55031066335573</v>
      </c>
      <c r="F33" s="115">
        <f>'M-L C&amp;I TSM Summary'!F31*Inputs!$C$14</f>
        <v>481.55031066335579</v>
      </c>
      <c r="G33" s="134">
        <f>'M-L C&amp;I TSM Summary'!G31*Inputs!$C$14</f>
        <v>481.55031066335579</v>
      </c>
      <c r="H33" s="134"/>
      <c r="I33" s="44">
        <f>'M-L C&amp;I TSM Summary'!I31*Inputs!$C$14</f>
        <v>481.55031066335579</v>
      </c>
      <c r="J33" s="115"/>
      <c r="K33" s="134"/>
      <c r="L33" s="134"/>
      <c r="M33" s="44"/>
      <c r="N33" s="115">
        <f>'M-L C&amp;I TSM Summary'!N31*Inputs!$C$14</f>
        <v>481.55031066335567</v>
      </c>
      <c r="O33" s="134">
        <f>'M-L C&amp;I TSM Summary'!O31*Inputs!$C$14</f>
        <v>481.55031066335579</v>
      </c>
      <c r="P33" s="134"/>
      <c r="Q33" s="44">
        <f>'M-L C&amp;I TSM Summary'!Q31*Inputs!$C$14</f>
        <v>481.55031066335573</v>
      </c>
    </row>
    <row r="34" spans="1:17" ht="13.5" thickBot="1">
      <c r="A34" s="118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79" t="s">
        <v>126</v>
      </c>
      <c r="B35" s="279">
        <f t="shared" ref="B35:Q35" si="10">B27+B31+B33</f>
        <v>2044.6838528631226</v>
      </c>
      <c r="C35" s="280">
        <f>C27+C31+C33</f>
        <v>3738.1502769619838</v>
      </c>
      <c r="D35" s="280"/>
      <c r="E35" s="291">
        <f t="shared" si="10"/>
        <v>2093.1218363907019</v>
      </c>
      <c r="F35" s="279">
        <f t="shared" si="10"/>
        <v>895.5532361156661</v>
      </c>
      <c r="G35" s="280">
        <f t="shared" si="10"/>
        <v>896.46789727333089</v>
      </c>
      <c r="H35" s="280"/>
      <c r="I35" s="291">
        <f t="shared" si="10"/>
        <v>895.81678255092538</v>
      </c>
      <c r="J35" s="279"/>
      <c r="K35" s="280"/>
      <c r="L35" s="280"/>
      <c r="M35" s="291"/>
      <c r="N35" s="279">
        <f t="shared" si="10"/>
        <v>1990.5692289279496</v>
      </c>
      <c r="O35" s="280">
        <f t="shared" si="10"/>
        <v>2656.3814579372161</v>
      </c>
      <c r="P35" s="280"/>
      <c r="Q35" s="291">
        <f t="shared" si="10"/>
        <v>2020.1455986050137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  <c r="B38" s="308"/>
      <c r="C38" s="308"/>
      <c r="D38" s="308"/>
      <c r="E38" s="308"/>
      <c r="F38" s="308"/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5">
    <tabColor rgb="FFFFC000"/>
    <pageSetUpPr fitToPage="1"/>
  </sheetPr>
  <dimension ref="A1:H47"/>
  <sheetViews>
    <sheetView zoomScaleNormal="100" workbookViewId="0">
      <selection activeCell="E14" sqref="E14"/>
    </sheetView>
  </sheetViews>
  <sheetFormatPr defaultRowHeight="12.5"/>
  <cols>
    <col min="1" max="1" width="25" bestFit="1" customWidth="1"/>
    <col min="2" max="2" width="16" bestFit="1" customWidth="1"/>
    <col min="3" max="3" width="15.453125" bestFit="1" customWidth="1"/>
    <col min="4" max="5" width="10.7265625" customWidth="1"/>
    <col min="6" max="6" width="12.1796875" customWidth="1"/>
    <col min="7" max="8" width="10.7265625" customWidth="1"/>
  </cols>
  <sheetData>
    <row r="1" spans="1:8" ht="18.5" thickBot="1">
      <c r="A1" s="750" t="s">
        <v>150</v>
      </c>
      <c r="B1" s="750"/>
      <c r="C1" s="750"/>
      <c r="D1" s="750"/>
      <c r="E1" s="750"/>
      <c r="F1" s="750"/>
    </row>
    <row r="2" spans="1:8" ht="13.5" thickBot="1">
      <c r="A2" s="305"/>
      <c r="B2" s="736" t="s">
        <v>0</v>
      </c>
      <c r="C2" s="737"/>
      <c r="D2" s="737"/>
      <c r="E2" s="737"/>
      <c r="F2" s="737"/>
      <c r="G2" s="103"/>
      <c r="H2" s="103"/>
    </row>
    <row r="3" spans="1:8" ht="13.5" thickBot="1">
      <c r="A3" s="306" t="s">
        <v>4</v>
      </c>
      <c r="B3" s="74" t="s">
        <v>116</v>
      </c>
      <c r="C3" s="26" t="s">
        <v>95</v>
      </c>
      <c r="D3" s="26" t="s">
        <v>33</v>
      </c>
      <c r="E3" s="26" t="s">
        <v>34</v>
      </c>
      <c r="F3" s="307" t="s">
        <v>208</v>
      </c>
      <c r="G3" s="77" t="s">
        <v>1</v>
      </c>
      <c r="H3" s="77" t="s">
        <v>2</v>
      </c>
    </row>
    <row r="4" spans="1:8" ht="13">
      <c r="A4" s="5"/>
      <c r="B4" s="104" t="s">
        <v>45</v>
      </c>
      <c r="C4" s="8" t="s">
        <v>45</v>
      </c>
      <c r="D4" s="8" t="s">
        <v>45</v>
      </c>
      <c r="E4" s="8" t="s">
        <v>45</v>
      </c>
      <c r="F4" s="8" t="s">
        <v>45</v>
      </c>
      <c r="G4" s="106" t="s">
        <v>45</v>
      </c>
      <c r="H4" s="106" t="s">
        <v>45</v>
      </c>
    </row>
    <row r="5" spans="1:8" ht="13">
      <c r="A5" s="104"/>
      <c r="B5" s="104"/>
      <c r="C5" s="8"/>
      <c r="D5" s="8"/>
      <c r="E5" s="8"/>
      <c r="F5" s="8"/>
      <c r="G5" s="118"/>
      <c r="H5" s="118"/>
    </row>
    <row r="6" spans="1:8" ht="13">
      <c r="A6" s="21" t="s">
        <v>5</v>
      </c>
      <c r="B6" s="412"/>
      <c r="C6" s="413"/>
      <c r="D6" s="413"/>
      <c r="E6" s="413"/>
      <c r="F6" s="101"/>
      <c r="G6" s="118"/>
      <c r="H6" s="150"/>
    </row>
    <row r="7" spans="1:8" ht="13">
      <c r="A7" s="20" t="s">
        <v>6</v>
      </c>
      <c r="B7" s="412"/>
      <c r="C7" s="413"/>
      <c r="D7" s="413"/>
      <c r="E7" s="413"/>
      <c r="F7" s="101"/>
      <c r="G7" s="118"/>
      <c r="H7" s="118"/>
    </row>
    <row r="8" spans="1:8" ht="13">
      <c r="A8" s="22" t="s">
        <v>7</v>
      </c>
      <c r="B8" s="412"/>
      <c r="C8" s="413"/>
      <c r="D8" s="413"/>
      <c r="E8" s="413"/>
      <c r="F8" s="101"/>
      <c r="G8" s="118"/>
      <c r="H8" s="118"/>
    </row>
    <row r="9" spans="1:8" ht="13">
      <c r="A9" s="22" t="s">
        <v>105</v>
      </c>
      <c r="B9" s="412"/>
      <c r="C9" s="413"/>
      <c r="D9" s="413"/>
      <c r="E9" s="413"/>
      <c r="F9" s="101"/>
      <c r="G9" s="118"/>
      <c r="H9" s="118"/>
    </row>
    <row r="10" spans="1:8" ht="13">
      <c r="A10" s="22" t="s">
        <v>97</v>
      </c>
      <c r="B10" s="412"/>
      <c r="C10" s="413"/>
      <c r="D10" s="413"/>
      <c r="E10" s="413"/>
      <c r="F10" s="101"/>
      <c r="G10" s="118"/>
      <c r="H10" s="150"/>
    </row>
    <row r="11" spans="1:8" ht="13">
      <c r="A11" s="22" t="s">
        <v>8</v>
      </c>
      <c r="B11" s="412"/>
      <c r="C11" s="413"/>
      <c r="D11" s="413"/>
      <c r="E11" s="413"/>
      <c r="F11" s="101"/>
      <c r="G11" s="153"/>
      <c r="H11" s="150"/>
    </row>
    <row r="12" spans="1:8" ht="13">
      <c r="A12" s="22" t="s">
        <v>9</v>
      </c>
      <c r="B12" s="435"/>
      <c r="C12" s="436"/>
      <c r="D12" s="436"/>
      <c r="E12" s="436"/>
      <c r="F12" s="184"/>
      <c r="G12" s="576"/>
      <c r="H12" s="252"/>
    </row>
    <row r="13" spans="1:8" ht="13">
      <c r="A13" s="22" t="s">
        <v>10</v>
      </c>
      <c r="B13" s="435"/>
      <c r="C13" s="436"/>
      <c r="D13" s="436"/>
      <c r="E13" s="436"/>
      <c r="F13" s="184"/>
      <c r="G13" s="576"/>
      <c r="H13" s="252"/>
    </row>
    <row r="14" spans="1:8" ht="13">
      <c r="A14" s="22" t="s">
        <v>11</v>
      </c>
      <c r="B14" s="435"/>
      <c r="C14" s="436"/>
      <c r="D14" s="436"/>
      <c r="E14" s="436">
        <v>3</v>
      </c>
      <c r="F14" s="184">
        <f t="shared" ref="F14" si="0">SUM(B14:E14)</f>
        <v>3</v>
      </c>
      <c r="G14" s="576"/>
      <c r="H14" s="252">
        <f t="shared" ref="H14" si="1">F14+G14</f>
        <v>3</v>
      </c>
    </row>
    <row r="15" spans="1:8" ht="13">
      <c r="A15" s="22" t="s">
        <v>101</v>
      </c>
      <c r="B15" s="435"/>
      <c r="C15" s="436"/>
      <c r="D15" s="436"/>
      <c r="E15" s="436"/>
      <c r="F15" s="184"/>
      <c r="G15" s="576"/>
      <c r="H15" s="252"/>
    </row>
    <row r="16" spans="1:8" ht="13">
      <c r="A16" s="22" t="s">
        <v>102</v>
      </c>
      <c r="B16" s="435"/>
      <c r="C16" s="436"/>
      <c r="D16" s="436"/>
      <c r="E16" s="436"/>
      <c r="F16" s="184"/>
      <c r="G16" s="576"/>
      <c r="H16" s="252"/>
    </row>
    <row r="17" spans="1:8" ht="13">
      <c r="A17" s="22" t="s">
        <v>12</v>
      </c>
      <c r="B17" s="435"/>
      <c r="C17" s="436"/>
      <c r="D17" s="436"/>
      <c r="E17" s="436"/>
      <c r="F17" s="184"/>
      <c r="G17" s="576"/>
      <c r="H17" s="252"/>
    </row>
    <row r="18" spans="1:8" ht="13">
      <c r="A18" s="22" t="s">
        <v>13</v>
      </c>
      <c r="B18" s="183"/>
      <c r="C18" s="184"/>
      <c r="D18" s="184"/>
      <c r="E18" s="184"/>
      <c r="F18" s="184"/>
      <c r="G18" s="576"/>
      <c r="H18" s="576"/>
    </row>
    <row r="19" spans="1:8" ht="13">
      <c r="A19" s="22" t="s">
        <v>103</v>
      </c>
      <c r="B19" s="183"/>
      <c r="C19" s="184"/>
      <c r="D19" s="184"/>
      <c r="E19" s="184"/>
      <c r="F19" s="184"/>
      <c r="G19" s="576"/>
      <c r="H19" s="576"/>
    </row>
    <row r="20" spans="1:8" ht="13">
      <c r="A20" s="22" t="s">
        <v>104</v>
      </c>
      <c r="B20" s="183"/>
      <c r="C20" s="184"/>
      <c r="D20" s="184"/>
      <c r="E20" s="184"/>
      <c r="F20" s="184"/>
      <c r="G20" s="576"/>
      <c r="H20" s="576"/>
    </row>
    <row r="21" spans="1:8" s="52" customFormat="1" ht="13">
      <c r="A21" s="22" t="s">
        <v>14</v>
      </c>
      <c r="B21" s="183"/>
      <c r="C21" s="184"/>
      <c r="D21" s="184"/>
      <c r="E21" s="184"/>
      <c r="F21" s="184"/>
      <c r="G21" s="577"/>
      <c r="H21" s="577"/>
    </row>
    <row r="22" spans="1:8" s="52" customFormat="1" ht="13">
      <c r="A22" s="22" t="s">
        <v>15</v>
      </c>
      <c r="B22" s="183"/>
      <c r="C22" s="184"/>
      <c r="D22" s="184"/>
      <c r="E22" s="184"/>
      <c r="F22" s="184"/>
      <c r="G22" s="577"/>
      <c r="H22" s="577"/>
    </row>
    <row r="23" spans="1:8" ht="13">
      <c r="A23" s="21" t="s">
        <v>16</v>
      </c>
      <c r="B23" s="183"/>
      <c r="C23" s="184"/>
      <c r="D23" s="184"/>
      <c r="E23" s="184"/>
      <c r="F23" s="184"/>
      <c r="G23" s="576"/>
      <c r="H23" s="576"/>
    </row>
    <row r="24" spans="1:8" ht="13">
      <c r="A24" s="22" t="s">
        <v>17</v>
      </c>
      <c r="B24" s="183"/>
      <c r="C24" s="184"/>
      <c r="D24" s="184"/>
      <c r="E24" s="184"/>
      <c r="F24" s="184"/>
      <c r="G24" s="576"/>
      <c r="H24" s="576"/>
    </row>
    <row r="25" spans="1:8" ht="13">
      <c r="A25" s="22" t="s">
        <v>18</v>
      </c>
      <c r="B25" s="183"/>
      <c r="C25" s="184"/>
      <c r="D25" s="184"/>
      <c r="E25" s="184"/>
      <c r="F25" s="184"/>
      <c r="G25" s="576"/>
      <c r="H25" s="576"/>
    </row>
    <row r="26" spans="1:8" ht="13">
      <c r="A26" s="22" t="s">
        <v>19</v>
      </c>
      <c r="B26" s="183"/>
      <c r="C26" s="184"/>
      <c r="D26" s="184"/>
      <c r="E26" s="184"/>
      <c r="F26" s="184"/>
      <c r="G26" s="576"/>
      <c r="H26" s="576"/>
    </row>
    <row r="27" spans="1:8" ht="13">
      <c r="A27" s="22" t="s">
        <v>20</v>
      </c>
      <c r="B27" s="183"/>
      <c r="C27" s="184"/>
      <c r="D27" s="184"/>
      <c r="E27" s="184"/>
      <c r="F27" s="184"/>
      <c r="G27" s="576"/>
      <c r="H27" s="576"/>
    </row>
    <row r="28" spans="1:8" ht="13">
      <c r="A28" s="22" t="s">
        <v>21</v>
      </c>
      <c r="B28" s="183"/>
      <c r="C28" s="184"/>
      <c r="D28" s="184"/>
      <c r="E28" s="184"/>
      <c r="F28" s="184"/>
      <c r="G28" s="576"/>
      <c r="H28" s="576"/>
    </row>
    <row r="29" spans="1:8" ht="13">
      <c r="A29" s="22" t="s">
        <v>22</v>
      </c>
      <c r="B29" s="183"/>
      <c r="C29" s="184"/>
      <c r="D29" s="184"/>
      <c r="E29" s="184"/>
      <c r="F29" s="184"/>
      <c r="G29" s="576"/>
      <c r="H29" s="576"/>
    </row>
    <row r="30" spans="1:8" ht="13">
      <c r="A30" s="22" t="s">
        <v>23</v>
      </c>
      <c r="B30" s="183"/>
      <c r="C30" s="184"/>
      <c r="D30" s="184"/>
      <c r="E30" s="184"/>
      <c r="F30" s="184"/>
      <c r="G30" s="576"/>
      <c r="H30" s="576"/>
    </row>
    <row r="31" spans="1:8" ht="13">
      <c r="A31" s="22" t="s">
        <v>24</v>
      </c>
      <c r="B31" s="183"/>
      <c r="C31" s="184"/>
      <c r="D31" s="184"/>
      <c r="E31" s="184"/>
      <c r="F31" s="184"/>
      <c r="G31" s="576"/>
      <c r="H31" s="576"/>
    </row>
    <row r="32" spans="1:8" ht="13">
      <c r="A32" s="21" t="s">
        <v>25</v>
      </c>
      <c r="B32" s="183"/>
      <c r="C32" s="184"/>
      <c r="D32" s="184"/>
      <c r="E32" s="184"/>
      <c r="F32" s="184"/>
      <c r="G32" s="576"/>
      <c r="H32" s="576"/>
    </row>
    <row r="33" spans="1:8" ht="13">
      <c r="A33" s="21" t="s">
        <v>106</v>
      </c>
      <c r="B33" s="183"/>
      <c r="C33" s="184"/>
      <c r="D33" s="184"/>
      <c r="E33" s="184"/>
      <c r="F33" s="184"/>
      <c r="G33" s="576"/>
      <c r="H33" s="576"/>
    </row>
    <row r="34" spans="1:8" ht="13">
      <c r="A34" s="21" t="s">
        <v>107</v>
      </c>
      <c r="B34" s="183"/>
      <c r="C34" s="184"/>
      <c r="D34" s="184"/>
      <c r="E34" s="184"/>
      <c r="F34" s="184"/>
      <c r="G34" s="576"/>
      <c r="H34" s="576"/>
    </row>
    <row r="35" spans="1:8" ht="13">
      <c r="A35" s="21" t="s">
        <v>26</v>
      </c>
      <c r="B35" s="183"/>
      <c r="C35" s="184"/>
      <c r="D35" s="184"/>
      <c r="E35" s="184"/>
      <c r="F35" s="184"/>
      <c r="G35" s="576"/>
      <c r="H35" s="576"/>
    </row>
    <row r="36" spans="1:8" ht="13">
      <c r="A36" s="21" t="s">
        <v>27</v>
      </c>
      <c r="B36" s="183"/>
      <c r="C36" s="184"/>
      <c r="D36" s="184"/>
      <c r="E36" s="184"/>
      <c r="F36" s="184"/>
      <c r="G36" s="576"/>
      <c r="H36" s="576"/>
    </row>
    <row r="37" spans="1:8" ht="13.5" thickBot="1">
      <c r="A37" s="244"/>
      <c r="B37" s="183"/>
      <c r="C37" s="184"/>
      <c r="D37" s="184"/>
      <c r="E37" s="184"/>
      <c r="F37" s="184"/>
      <c r="G37" s="576"/>
      <c r="H37" s="576"/>
    </row>
    <row r="38" spans="1:8" ht="13.5" thickBot="1">
      <c r="A38" s="244" t="s">
        <v>2</v>
      </c>
      <c r="B38" s="187">
        <f>SUM(B6:B37)</f>
        <v>0</v>
      </c>
      <c r="C38" s="188"/>
      <c r="D38" s="188"/>
      <c r="E38" s="188">
        <f>SUM(E6:E37)</f>
        <v>3</v>
      </c>
      <c r="F38" s="188">
        <f>SUM(F6:F37)</f>
        <v>3</v>
      </c>
      <c r="G38" s="578"/>
      <c r="H38" s="579">
        <f>F38+G38</f>
        <v>3</v>
      </c>
    </row>
    <row r="39" spans="1:8" ht="13">
      <c r="A39" s="21" t="s">
        <v>141</v>
      </c>
      <c r="B39" s="256">
        <f>SUM(B6:B19)</f>
        <v>0</v>
      </c>
      <c r="C39" s="246"/>
      <c r="D39" s="246"/>
      <c r="E39" s="246">
        <f>SUM(E6:E19)</f>
        <v>3</v>
      </c>
      <c r="F39" s="246">
        <f>SUM(F6:F19)</f>
        <v>3</v>
      </c>
      <c r="G39" s="252"/>
      <c r="H39" s="252">
        <f>F39+G39</f>
        <v>3</v>
      </c>
    </row>
    <row r="40" spans="1:8" ht="13">
      <c r="A40" s="21" t="s">
        <v>119</v>
      </c>
      <c r="B40" s="256">
        <f>SUM(B20:B33)</f>
        <v>0</v>
      </c>
      <c r="C40" s="246"/>
      <c r="D40" s="246"/>
      <c r="E40" s="246">
        <f>SUM(E20:E33)</f>
        <v>0</v>
      </c>
      <c r="F40" s="246">
        <f>SUM(F20:F33)</f>
        <v>0</v>
      </c>
      <c r="G40" s="252"/>
      <c r="H40" s="252">
        <f>F40+G40</f>
        <v>0</v>
      </c>
    </row>
    <row r="41" spans="1:8" ht="13.5" thickBot="1">
      <c r="A41" s="244" t="s">
        <v>85</v>
      </c>
      <c r="B41" s="257">
        <f>SUM(B34:B36)</f>
        <v>0</v>
      </c>
      <c r="C41" s="247"/>
      <c r="D41" s="247"/>
      <c r="E41" s="247">
        <f>SUM(E34:E36)</f>
        <v>0</v>
      </c>
      <c r="F41" s="247">
        <f>SUM(F34:F36)</f>
        <v>0</v>
      </c>
      <c r="G41" s="253"/>
      <c r="H41" s="253">
        <f>F41+G41</f>
        <v>0</v>
      </c>
    </row>
    <row r="42" spans="1:8">
      <c r="A42" s="243"/>
      <c r="B42" s="241"/>
      <c r="C42" s="241"/>
      <c r="D42" s="241"/>
      <c r="E42" s="241"/>
      <c r="F42" s="241"/>
      <c r="G42" s="241"/>
      <c r="H42" s="414"/>
    </row>
    <row r="43" spans="1:8" ht="13">
      <c r="A43" s="29" t="s">
        <v>271</v>
      </c>
      <c r="B43" s="12"/>
      <c r="C43" s="12"/>
      <c r="D43" s="12"/>
      <c r="E43" s="12"/>
      <c r="F43" s="12"/>
      <c r="G43" s="12"/>
      <c r="H43" s="76"/>
    </row>
    <row r="44" spans="1:8" ht="13">
      <c r="A44" s="29"/>
      <c r="B44" s="415" t="s">
        <v>346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2" t="s">
        <v>270</v>
      </c>
      <c r="C45" s="28"/>
      <c r="D45" s="28"/>
      <c r="E45" s="28"/>
      <c r="F45" s="28"/>
      <c r="G45" s="28"/>
      <c r="H45" s="80"/>
    </row>
    <row r="47" spans="1:8" ht="13">
      <c r="A47" s="261" t="s">
        <v>86</v>
      </c>
      <c r="B47" s="18">
        <f>SUM(B39:B41)-B38</f>
        <v>0</v>
      </c>
      <c r="C47" s="18">
        <f t="shared" ref="C47:H47" si="2">SUM(C39:C41)-C38</f>
        <v>0</v>
      </c>
      <c r="D47" s="18">
        <f t="shared" si="2"/>
        <v>0</v>
      </c>
      <c r="E47" s="18">
        <f t="shared" si="2"/>
        <v>0</v>
      </c>
      <c r="F47" s="18">
        <f t="shared" si="2"/>
        <v>0</v>
      </c>
      <c r="G47" s="18">
        <f t="shared" si="2"/>
        <v>0</v>
      </c>
      <c r="H47" s="18">
        <f t="shared" si="2"/>
        <v>0</v>
      </c>
    </row>
  </sheetData>
  <mergeCells count="2">
    <mergeCell ref="A1:F1"/>
    <mergeCell ref="B2:F2"/>
  </mergeCells>
  <printOptions horizontalCentered="1"/>
  <pageMargins left="0.75" right="0.75" top="1" bottom="1" header="0.5" footer="0.5"/>
  <pageSetup scale="81" orientation="portrait" r:id="rId1"/>
  <headerFooter alignWithMargins="0">
    <oddFooter>&amp;L&amp;F
&amp;A&amp;R&amp;P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6">
    <tabColor rgb="FFFFC000"/>
  </sheetPr>
  <dimension ref="A1:W54"/>
  <sheetViews>
    <sheetView topLeftCell="D17" zoomScaleNormal="100" workbookViewId="0">
      <selection activeCell="D16" sqref="D16"/>
    </sheetView>
  </sheetViews>
  <sheetFormatPr defaultRowHeight="12.5"/>
  <cols>
    <col min="1" max="1" width="32.7265625" customWidth="1"/>
    <col min="2" max="2" width="12.81640625" bestFit="1" customWidth="1"/>
    <col min="3" max="4" width="8.7265625" bestFit="1" customWidth="1"/>
    <col min="5" max="5" width="11.7265625" customWidth="1"/>
    <col min="6" max="6" width="12.81640625" bestFit="1" customWidth="1"/>
    <col min="7" max="8" width="11.54296875" customWidth="1"/>
    <col min="9" max="9" width="11.453125" customWidth="1"/>
    <col min="10" max="10" width="12.81640625" bestFit="1" customWidth="1"/>
    <col min="11" max="11" width="11.26953125" bestFit="1" customWidth="1"/>
    <col min="12" max="12" width="10.1796875" customWidth="1"/>
    <col min="13" max="13" width="11.7265625" customWidth="1"/>
    <col min="14" max="14" width="12.81640625" bestFit="1" customWidth="1"/>
    <col min="15" max="16" width="11.26953125" bestFit="1" customWidth="1"/>
    <col min="17" max="17" width="12.54296875" customWidth="1"/>
    <col min="18" max="18" width="12.81640625" bestFit="1" customWidth="1"/>
    <col min="19" max="20" width="11.26953125" bestFit="1" customWidth="1"/>
    <col min="21" max="21" width="10.26953125" bestFit="1" customWidth="1"/>
  </cols>
  <sheetData>
    <row r="1" spans="1:23" ht="18.5" thickBot="1">
      <c r="A1" s="750" t="s">
        <v>149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</row>
    <row r="2" spans="1:23" ht="13.5" thickBot="1">
      <c r="A2" s="229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3" t="s">
        <v>203</v>
      </c>
      <c r="S2" s="744"/>
      <c r="T2" s="744"/>
      <c r="U2" s="746"/>
    </row>
    <row r="3" spans="1:23" ht="13">
      <c r="A3" s="55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2"/>
      <c r="R3" s="755"/>
      <c r="S3" s="756"/>
      <c r="T3" s="756"/>
      <c r="U3" s="757"/>
    </row>
    <row r="4" spans="1:23" ht="13.5" thickBot="1">
      <c r="A4" s="232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3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</row>
    <row r="5" spans="1:23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6" t="s">
        <v>42</v>
      </c>
      <c r="S5" s="6" t="s">
        <v>42</v>
      </c>
      <c r="T5" s="6" t="s">
        <v>42</v>
      </c>
      <c r="U5" s="7" t="s">
        <v>43</v>
      </c>
    </row>
    <row r="6" spans="1:23" ht="1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8"/>
      <c r="S6" s="8"/>
      <c r="T6" s="8"/>
      <c r="U6" s="9"/>
    </row>
    <row r="7" spans="1:23" ht="13">
      <c r="A7" s="124" t="s">
        <v>5</v>
      </c>
      <c r="B7" s="109">
        <f>'Sch OL-TOU Cust Fcst'!$B6*'Non-Residential TSM UC Adj'!B7</f>
        <v>0</v>
      </c>
      <c r="C7" s="23">
        <f>'Sch OL-TOU Cust Fcst'!$B6*'Non-Residential TSM UC Adj'!C7</f>
        <v>0</v>
      </c>
      <c r="D7" s="23">
        <f>'Sch OL-TOU Cust Fcst'!$B6*'Non-Residential TSM UC Adj'!D7</f>
        <v>0</v>
      </c>
      <c r="E7" s="41">
        <f>IF(SUM(B7:D7)=0,0,SUM(B7:D7)/'Sch AL-TOU Cust Fcst'!B6)</f>
        <v>0</v>
      </c>
      <c r="F7" s="109">
        <f>'Sch OL-TOU Cust Fcst'!$C6*'Non-Residential TSM UC Adj'!F7</f>
        <v>0</v>
      </c>
      <c r="G7" s="23">
        <f>'Sch OL-TOU Cust Fcst'!$C6*'Non-Residential TSM UC Adj'!G7</f>
        <v>0</v>
      </c>
      <c r="H7" s="23">
        <f>'Sch OL-TOU Cust Fcst'!$C6*'Non-Residential TSM UC Adj'!H7</f>
        <v>0</v>
      </c>
      <c r="I7" s="41">
        <f>IF(SUM(F7:H7)=0,0,SUM(F7:H7)/'Sch AL-TOU Cust Fcst'!C6)</f>
        <v>0</v>
      </c>
      <c r="J7" s="109">
        <f>'Sch OL-TOU Cust Fcst'!$D6*'Non-Residential TSM UC Adj'!J7</f>
        <v>0</v>
      </c>
      <c r="K7" s="23">
        <f>'Sch OL-TOU Cust Fcst'!$D6*'Non-Residential TSM UC Adj'!K7</f>
        <v>0</v>
      </c>
      <c r="L7" s="23">
        <f>'Sch OL-TOU Cust Fcst'!$D6*'Non-Residential TSM UC Adj'!L7</f>
        <v>0</v>
      </c>
      <c r="M7" s="41">
        <f>IF(SUM(J7:L7)=0,0,SUM(J7:L7)/'Sch AL-TOU Cust Fcst'!D6)</f>
        <v>0</v>
      </c>
      <c r="N7" s="109">
        <f>'Sch OL-TOU Cust Fcst'!$E6*'Non-Residential TSM UC Adj'!N7</f>
        <v>0</v>
      </c>
      <c r="O7" s="23">
        <f>'Sch OL-TOU Cust Fcst'!$E6*'Non-Residential TSM UC Adj'!O7</f>
        <v>0</v>
      </c>
      <c r="P7" s="23">
        <f>'Sch OL-TOU Cust Fcst'!$E6*'Non-Residential TSM UC Adj'!P7</f>
        <v>0</v>
      </c>
      <c r="Q7" s="41">
        <f>IF(SUM(N7:P7)=0,0,SUM(N7:P7)/'Sch AL-TOU Cust Fcst'!E6)</f>
        <v>0</v>
      </c>
      <c r="R7" s="23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IF(SUM(R7:T7)=0,0,SUM(R7:T7)/'Sch AL-TOU Cust Fcst'!F6)</f>
        <v>0</v>
      </c>
    </row>
    <row r="8" spans="1:23" ht="13">
      <c r="A8" s="125" t="s">
        <v>6</v>
      </c>
      <c r="B8" s="109">
        <f>'Sch OL-TOU Cust Fcst'!$B7*'Non-Residential TSM UC Adj'!B8</f>
        <v>0</v>
      </c>
      <c r="C8" s="23">
        <f>'Sch OL-TOU Cust Fcst'!$B7*'Non-Residential TSM UC Adj'!C8</f>
        <v>0</v>
      </c>
      <c r="D8" s="23">
        <f>'Sch OL-TOU Cust Fcst'!$B7*'Non-Residential TSM UC Adj'!D8</f>
        <v>0</v>
      </c>
      <c r="E8" s="41">
        <f>IF(SUM(B8:D8)=0,0,SUM(B8:D8)/'Sch AL-TOU Cust Fcst'!B7)</f>
        <v>0</v>
      </c>
      <c r="F8" s="109">
        <f>'Sch OL-TOU Cust Fcst'!$C7*'Non-Residential TSM UC Adj'!F8</f>
        <v>0</v>
      </c>
      <c r="G8" s="23">
        <f>'Sch OL-TOU Cust Fcst'!$C7*'Non-Residential TSM UC Adj'!G8</f>
        <v>0</v>
      </c>
      <c r="H8" s="23">
        <f>'Sch OL-TOU Cust Fcst'!$C7*'Non-Residential TSM UC Adj'!H8</f>
        <v>0</v>
      </c>
      <c r="I8" s="41">
        <f>IF(SUM(F8:H8)=0,0,SUM(F8:H8)/'Sch AL-TOU Cust Fcst'!C7)</f>
        <v>0</v>
      </c>
      <c r="J8" s="109">
        <f>'Sch OL-TOU Cust Fcst'!$D7*'Non-Residential TSM UC Adj'!J8</f>
        <v>0</v>
      </c>
      <c r="K8" s="23">
        <f>'Sch OL-TOU Cust Fcst'!$D7*'Non-Residential TSM UC Adj'!K8</f>
        <v>0</v>
      </c>
      <c r="L8" s="23">
        <f>'Sch OL-TOU Cust Fcst'!$D7*'Non-Residential TSM UC Adj'!L8</f>
        <v>0</v>
      </c>
      <c r="M8" s="41">
        <f>IF(SUM(J8:L8)=0,0,SUM(J8:L8)/'Sch AL-TOU Cust Fcst'!D7)</f>
        <v>0</v>
      </c>
      <c r="N8" s="109">
        <f>'Sch OL-TOU Cust Fcst'!$E7*'Non-Residential TSM UC Adj'!N8</f>
        <v>0</v>
      </c>
      <c r="O8" s="23">
        <f>'Sch OL-TOU Cust Fcst'!$E7*'Non-Residential TSM UC Adj'!O8</f>
        <v>0</v>
      </c>
      <c r="P8" s="23">
        <f>'Sch OL-TOU Cust Fcst'!$E7*'Non-Residential TSM UC Adj'!P8</f>
        <v>0</v>
      </c>
      <c r="Q8" s="41">
        <f>IF(SUM(N8:P8)=0,0,SUM(N8:P8)/'Sch AL-TOU Cust Fcst'!E7)</f>
        <v>0</v>
      </c>
      <c r="R8" s="23">
        <f t="shared" ref="R8:R37" si="1">B8+F8+J8+N8</f>
        <v>0</v>
      </c>
      <c r="S8" s="23">
        <f t="shared" si="0"/>
        <v>0</v>
      </c>
      <c r="T8" s="23">
        <f t="shared" si="0"/>
        <v>0</v>
      </c>
      <c r="U8" s="41">
        <f>IF(SUM(R8:T8)=0,0,SUM(R8:T8)/'Sch AL-TOU Cust Fcst'!F7)</f>
        <v>0</v>
      </c>
    </row>
    <row r="9" spans="1:23" ht="13">
      <c r="A9" s="126" t="s">
        <v>7</v>
      </c>
      <c r="B9" s="109">
        <f>'Sch OL-TOU Cust Fcst'!$B8*'Non-Residential TSM UC Adj'!B9</f>
        <v>0</v>
      </c>
      <c r="C9" s="23">
        <f>'Sch OL-TOU Cust Fcst'!$B8*'Non-Residential TSM UC Adj'!C9</f>
        <v>0</v>
      </c>
      <c r="D9" s="23">
        <f>'Sch OL-TOU Cust Fcst'!$B8*'Non-Residential TSM UC Adj'!D9</f>
        <v>0</v>
      </c>
      <c r="E9" s="41">
        <f>IF(SUM(B9:D9)=0,0,SUM(B9:D9)/'Sch AL-TOU Cust Fcst'!B8)</f>
        <v>0</v>
      </c>
      <c r="F9" s="109">
        <f>'Sch OL-TOU Cust Fcst'!$C8*'Non-Residential TSM UC Adj'!F9</f>
        <v>0</v>
      </c>
      <c r="G9" s="23">
        <f>'Sch OL-TOU Cust Fcst'!$C8*'Non-Residential TSM UC Adj'!G9</f>
        <v>0</v>
      </c>
      <c r="H9" s="23">
        <f>'Sch OL-TOU Cust Fcst'!$C8*'Non-Residential TSM UC Adj'!H9</f>
        <v>0</v>
      </c>
      <c r="I9" s="41">
        <f>IF(SUM(F9:H9)=0,0,SUM(F9:H9)/'Sch AL-TOU Cust Fcst'!C8)</f>
        <v>0</v>
      </c>
      <c r="J9" s="109">
        <f>'Sch OL-TOU Cust Fcst'!$D8*'Non-Residential TSM UC Adj'!J9</f>
        <v>0</v>
      </c>
      <c r="K9" s="23">
        <f>'Sch OL-TOU Cust Fcst'!$D8*'Non-Residential TSM UC Adj'!K9</f>
        <v>0</v>
      </c>
      <c r="L9" s="23">
        <f>'Sch OL-TOU Cust Fcst'!$D8*'Non-Residential TSM UC Adj'!L9</f>
        <v>0</v>
      </c>
      <c r="M9" s="41">
        <f>IF(SUM(J9:L9)=0,0,SUM(J9:L9)/'Sch AL-TOU Cust Fcst'!D8)</f>
        <v>0</v>
      </c>
      <c r="N9" s="109">
        <f>'Sch OL-TOU Cust Fcst'!$E8*'Non-Residential TSM UC Adj'!N9</f>
        <v>0</v>
      </c>
      <c r="O9" s="23">
        <f>'Sch OL-TOU Cust Fcst'!$E8*'Non-Residential TSM UC Adj'!O9</f>
        <v>0</v>
      </c>
      <c r="P9" s="23">
        <f>'Sch OL-TOU Cust Fcst'!$E8*'Non-Residential TSM UC Adj'!P9</f>
        <v>0</v>
      </c>
      <c r="Q9" s="41">
        <f>IF(SUM(N9:P9)=0,0,SUM(N9:P9)/'Sch AL-TOU Cust Fcst'!E8)</f>
        <v>0</v>
      </c>
      <c r="R9" s="23">
        <f t="shared" si="1"/>
        <v>0</v>
      </c>
      <c r="S9" s="23">
        <f t="shared" si="0"/>
        <v>0</v>
      </c>
      <c r="T9" s="23">
        <f t="shared" si="0"/>
        <v>0</v>
      </c>
      <c r="U9" s="41">
        <f>IF(SUM(R9:T9)=0,0,SUM(R9:T9)/'Sch AL-TOU Cust Fcst'!F8)</f>
        <v>0</v>
      </c>
    </row>
    <row r="10" spans="1:23" ht="13">
      <c r="A10" s="126" t="s">
        <v>105</v>
      </c>
      <c r="B10" s="109">
        <f>'Sch OL-TOU Cust Fcst'!$B9*'Non-Residential TSM UC Adj'!B10</f>
        <v>0</v>
      </c>
      <c r="C10" s="23">
        <f>'Sch OL-TOU Cust Fcst'!$B9*'Non-Residential TSM UC Adj'!C10</f>
        <v>0</v>
      </c>
      <c r="D10" s="23">
        <f>'Sch OL-TOU Cust Fcst'!$B9*'Non-Residential TSM UC Adj'!D10</f>
        <v>0</v>
      </c>
      <c r="E10" s="41">
        <f>IF(SUM(B10:D10)=0,0,SUM(B10:D10)/'Sch AL-TOU Cust Fcst'!B9)</f>
        <v>0</v>
      </c>
      <c r="F10" s="109">
        <f>'Sch OL-TOU Cust Fcst'!$C9*'Non-Residential TSM UC Adj'!F10</f>
        <v>0</v>
      </c>
      <c r="G10" s="23">
        <f>'Sch OL-TOU Cust Fcst'!$C9*'Non-Residential TSM UC Adj'!G10</f>
        <v>0</v>
      </c>
      <c r="H10" s="23">
        <f>'Sch OL-TOU Cust Fcst'!$C9*'Non-Residential TSM UC Adj'!H10</f>
        <v>0</v>
      </c>
      <c r="I10" s="41">
        <f>IF(SUM(F10:H10)=0,0,SUM(F10:H10)/'Sch AL-TOU Cust Fcst'!C9)</f>
        <v>0</v>
      </c>
      <c r="J10" s="109">
        <f>'Sch OL-TOU Cust Fcst'!$D9*'Non-Residential TSM UC Adj'!J10</f>
        <v>0</v>
      </c>
      <c r="K10" s="23">
        <f>'Sch OL-TOU Cust Fcst'!$D9*'Non-Residential TSM UC Adj'!K10</f>
        <v>0</v>
      </c>
      <c r="L10" s="23">
        <f>'Sch OL-TOU Cust Fcst'!$D9*'Non-Residential TSM UC Adj'!L10</f>
        <v>0</v>
      </c>
      <c r="M10" s="41">
        <f>IF(SUM(J10:L10)=0,0,SUM(J10:L10)/'Sch AL-TOU Cust Fcst'!D9)</f>
        <v>0</v>
      </c>
      <c r="N10" s="109">
        <f>'Sch OL-TOU Cust Fcst'!$E9*'Non-Residential TSM UC Adj'!N10</f>
        <v>0</v>
      </c>
      <c r="O10" s="23">
        <f>'Sch OL-TOU Cust Fcst'!$E9*'Non-Residential TSM UC Adj'!O10</f>
        <v>0</v>
      </c>
      <c r="P10" s="23">
        <f>'Sch OL-TOU Cust Fcst'!$E9*'Non-Residential TSM UC Adj'!P10</f>
        <v>0</v>
      </c>
      <c r="Q10" s="41">
        <f>IF(SUM(N10:P10)=0,0,SUM(N10:P10)/'Sch AL-TOU Cust Fcst'!E9)</f>
        <v>0</v>
      </c>
      <c r="R10" s="23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IF(SUM(R10:T10)=0,0,SUM(R10:T10)/'Sch AL-TOU Cust Fcst'!F9)</f>
        <v>0</v>
      </c>
    </row>
    <row r="11" spans="1:23" ht="13">
      <c r="A11" s="126" t="s">
        <v>97</v>
      </c>
      <c r="B11" s="109">
        <f>'Sch OL-TOU Cust Fcst'!$B10*'Non-Residential TSM UC Adj'!B11</f>
        <v>0</v>
      </c>
      <c r="C11" s="23">
        <f>'Sch OL-TOU Cust Fcst'!$B10*'Non-Residential TSM UC Adj'!C11</f>
        <v>0</v>
      </c>
      <c r="D11" s="23">
        <f>'Sch OL-TOU Cust Fcst'!$B10*'Non-Residential TSM UC Adj'!D11</f>
        <v>0</v>
      </c>
      <c r="E11" s="41">
        <f>IF(SUM(B11:D11)=0,0,SUM(B11:D11)/'Sch AL-TOU Cust Fcst'!B10)</f>
        <v>0</v>
      </c>
      <c r="F11" s="109">
        <f>'Sch OL-TOU Cust Fcst'!$C10*'Non-Residential TSM UC Adj'!F11</f>
        <v>0</v>
      </c>
      <c r="G11" s="23">
        <f>'Sch OL-TOU Cust Fcst'!$C10*'Non-Residential TSM UC Adj'!G11</f>
        <v>0</v>
      </c>
      <c r="H11" s="23">
        <f>'Sch OL-TOU Cust Fcst'!$C10*'Non-Residential TSM UC Adj'!H11</f>
        <v>0</v>
      </c>
      <c r="I11" s="41">
        <f>IF(SUM(F11:H11)=0,0,SUM(F11:H11)/'Sch AL-TOU Cust Fcst'!C10)</f>
        <v>0</v>
      </c>
      <c r="J11" s="109">
        <f>'Sch OL-TOU Cust Fcst'!$D10*'Non-Residential TSM UC Adj'!J11</f>
        <v>0</v>
      </c>
      <c r="K11" s="23">
        <f>'Sch OL-TOU Cust Fcst'!$D10*'Non-Residential TSM UC Adj'!K11</f>
        <v>0</v>
      </c>
      <c r="L11" s="23">
        <f>'Sch OL-TOU Cust Fcst'!$D10*'Non-Residential TSM UC Adj'!L11</f>
        <v>0</v>
      </c>
      <c r="M11" s="41">
        <f>IF(SUM(J11:L11)=0,0,SUM(J11:L11)/'Sch AL-TOU Cust Fcst'!D10)</f>
        <v>0</v>
      </c>
      <c r="N11" s="109">
        <f>'Sch OL-TOU Cust Fcst'!$E10*'Non-Residential TSM UC Adj'!N11</f>
        <v>0</v>
      </c>
      <c r="O11" s="23">
        <f>'Sch OL-TOU Cust Fcst'!$E10*'Non-Residential TSM UC Adj'!O11</f>
        <v>0</v>
      </c>
      <c r="P11" s="23">
        <f>'Sch OL-TOU Cust Fcst'!$E10*'Non-Residential TSM UC Adj'!P11</f>
        <v>0</v>
      </c>
      <c r="Q11" s="41">
        <f>IF(SUM(N11:P11)=0,0,SUM(N11:P11)/'Sch AL-TOU Cust Fcst'!E10)</f>
        <v>0</v>
      </c>
      <c r="R11" s="23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IF(SUM(R11:T11)=0,0,SUM(R11:T11)/'Sch AL-TOU Cust Fcst'!F10)</f>
        <v>0</v>
      </c>
    </row>
    <row r="12" spans="1:23" ht="13">
      <c r="A12" s="126" t="s">
        <v>8</v>
      </c>
      <c r="B12" s="109">
        <f>'Sch OL-TOU Cust Fcst'!$B11*'Non-Residential TSM UC Adj'!B12</f>
        <v>0</v>
      </c>
      <c r="C12" s="23">
        <f>'Sch OL-TOU Cust Fcst'!$B11*'Non-Residential TSM UC Adj'!C12</f>
        <v>0</v>
      </c>
      <c r="D12" s="23">
        <f>'Sch OL-TOU Cust Fcst'!$B11*'Non-Residential TSM UC Adj'!D12</f>
        <v>0</v>
      </c>
      <c r="E12" s="41">
        <f>IF(SUM(B12:D12)=0,0,SUM(B12:D12)/'Sch AL-TOU Cust Fcst'!B11)</f>
        <v>0</v>
      </c>
      <c r="F12" s="109">
        <f>'Sch OL-TOU Cust Fcst'!$C11*'Non-Residential TSM UC Adj'!F12</f>
        <v>0</v>
      </c>
      <c r="G12" s="23">
        <f>'Sch OL-TOU Cust Fcst'!$C11*'Non-Residential TSM UC Adj'!G12</f>
        <v>0</v>
      </c>
      <c r="H12" s="23">
        <f>'Sch OL-TOU Cust Fcst'!$C11*'Non-Residential TSM UC Adj'!H12</f>
        <v>0</v>
      </c>
      <c r="I12" s="41">
        <f>IF(SUM(F12:H12)=0,0,SUM(F12:H12)/'Sch AL-TOU Cust Fcst'!C11)</f>
        <v>0</v>
      </c>
      <c r="J12" s="109">
        <f>'Sch OL-TOU Cust Fcst'!$D11*'Non-Residential TSM UC Adj'!J12</f>
        <v>0</v>
      </c>
      <c r="K12" s="23">
        <f>'Sch OL-TOU Cust Fcst'!$D11*'Non-Residential TSM UC Adj'!K12</f>
        <v>0</v>
      </c>
      <c r="L12" s="23">
        <f>'Sch OL-TOU Cust Fcst'!$D11*'Non-Residential TSM UC Adj'!L12</f>
        <v>0</v>
      </c>
      <c r="M12" s="41">
        <f>IF(SUM(J12:L12)=0,0,SUM(J12:L12)/'Sch AL-TOU Cust Fcst'!D11)</f>
        <v>0</v>
      </c>
      <c r="N12" s="109">
        <f>'Sch OL-TOU Cust Fcst'!$E11*'Non-Residential TSM UC Adj'!N12</f>
        <v>0</v>
      </c>
      <c r="O12" s="23">
        <f>'Sch OL-TOU Cust Fcst'!$E11*'Non-Residential TSM UC Adj'!O12</f>
        <v>0</v>
      </c>
      <c r="P12" s="23">
        <f>'Sch OL-TOU Cust Fcst'!$E11*'Non-Residential TSM UC Adj'!P12</f>
        <v>0</v>
      </c>
      <c r="Q12" s="41">
        <f>IF(SUM(N12:P12)=0,0,SUM(N12:P12)/'Sch AL-TOU Cust Fcst'!E11)</f>
        <v>0</v>
      </c>
      <c r="R12" s="23">
        <f t="shared" si="1"/>
        <v>0</v>
      </c>
      <c r="S12" s="23">
        <f t="shared" si="0"/>
        <v>0</v>
      </c>
      <c r="T12" s="23">
        <f t="shared" si="0"/>
        <v>0</v>
      </c>
      <c r="U12" s="41">
        <f>IF(SUM(R12:T12)=0,0,SUM(R12:T12)/'Sch AL-TOU Cust Fcst'!F11)</f>
        <v>0</v>
      </c>
    </row>
    <row r="13" spans="1:23" ht="13">
      <c r="A13" s="126" t="s">
        <v>9</v>
      </c>
      <c r="B13" s="109">
        <f>'Sch OL-TOU Cust Fcst'!$B12*'Non-Residential TSM UC Adj'!B13</f>
        <v>0</v>
      </c>
      <c r="C13" s="23">
        <f>'Sch OL-TOU Cust Fcst'!$B12*'Non-Residential TSM UC Adj'!C13</f>
        <v>0</v>
      </c>
      <c r="D13" s="23">
        <f>'Sch OL-TOU Cust Fcst'!$B12*'Non-Residential TSM UC Adj'!D13</f>
        <v>0</v>
      </c>
      <c r="E13" s="41">
        <f>IF(SUM(B13:D13)=0,0,SUM(B13:D13)/'Sch AL-TOU Cust Fcst'!B12)</f>
        <v>0</v>
      </c>
      <c r="F13" s="109">
        <f>'Sch OL-TOU Cust Fcst'!$C12*'Non-Residential TSM UC Adj'!F13</f>
        <v>0</v>
      </c>
      <c r="G13" s="23">
        <f>'Sch OL-TOU Cust Fcst'!$C12*'Non-Residential TSM UC Adj'!G13</f>
        <v>0</v>
      </c>
      <c r="H13" s="23">
        <f>'Sch OL-TOU Cust Fcst'!$C12*'Non-Residential TSM UC Adj'!H13</f>
        <v>0</v>
      </c>
      <c r="I13" s="41">
        <f>IF(SUM(F13:H13)=0,0,SUM(F13:H13)/'Sch AL-TOU Cust Fcst'!C12)</f>
        <v>0</v>
      </c>
      <c r="J13" s="109">
        <f>'Sch OL-TOU Cust Fcst'!$D12*'Non-Residential TSM UC Adj'!J13</f>
        <v>0</v>
      </c>
      <c r="K13" s="23">
        <f>'Sch OL-TOU Cust Fcst'!$D12*'Non-Residential TSM UC Adj'!K13</f>
        <v>0</v>
      </c>
      <c r="L13" s="23">
        <f>'Sch OL-TOU Cust Fcst'!$D12*'Non-Residential TSM UC Adj'!L13</f>
        <v>0</v>
      </c>
      <c r="M13" s="41">
        <f>IF(SUM(J13:L13)=0,0,SUM(J13:L13)/'Sch AL-TOU Cust Fcst'!D12)</f>
        <v>0</v>
      </c>
      <c r="N13" s="109">
        <f>'Sch OL-TOU Cust Fcst'!$E12*'Non-Residential TSM UC Adj'!N13</f>
        <v>0</v>
      </c>
      <c r="O13" s="23">
        <f>'Sch OL-TOU Cust Fcst'!$E12*'Non-Residential TSM UC Adj'!O13</f>
        <v>0</v>
      </c>
      <c r="P13" s="23">
        <f>'Sch OL-TOU Cust Fcst'!$E12*'Non-Residential TSM UC Adj'!P13</f>
        <v>0</v>
      </c>
      <c r="Q13" s="41">
        <f>IF(SUM(N13:P13)=0,0,SUM(N13:P13)/'Sch AL-TOU Cust Fcst'!E12)</f>
        <v>0</v>
      </c>
      <c r="R13" s="23">
        <f t="shared" si="1"/>
        <v>0</v>
      </c>
      <c r="S13" s="23">
        <f t="shared" si="0"/>
        <v>0</v>
      </c>
      <c r="T13" s="23">
        <f t="shared" si="0"/>
        <v>0</v>
      </c>
      <c r="U13" s="41">
        <f>IF(SUM(R13:T13)=0,0,SUM(R13:T13)/'Sch AL-TOU Cust Fcst'!F12)</f>
        <v>0</v>
      </c>
    </row>
    <row r="14" spans="1:23" ht="13">
      <c r="A14" s="126" t="s">
        <v>10</v>
      </c>
      <c r="B14" s="109">
        <f>'Sch OL-TOU Cust Fcst'!$B13*'Non-Residential TSM UC Adj'!B14</f>
        <v>0</v>
      </c>
      <c r="C14" s="23">
        <f>'Sch OL-TOU Cust Fcst'!$B13*'Non-Residential TSM UC Adj'!C14</f>
        <v>0</v>
      </c>
      <c r="D14" s="23">
        <f>'Sch OL-TOU Cust Fcst'!$B13*'Non-Residential TSM UC Adj'!D14</f>
        <v>0</v>
      </c>
      <c r="E14" s="41">
        <f>IF(SUM(B14:D14)=0,0,SUM(B14:D14)/'Sch AL-TOU Cust Fcst'!B13)</f>
        <v>0</v>
      </c>
      <c r="F14" s="109">
        <f>'Sch OL-TOU Cust Fcst'!$C13*'Non-Residential TSM UC Adj'!F14</f>
        <v>0</v>
      </c>
      <c r="G14" s="23">
        <f>'Sch OL-TOU Cust Fcst'!$C13*'Non-Residential TSM UC Adj'!G14</f>
        <v>0</v>
      </c>
      <c r="H14" s="23">
        <f>'Sch OL-TOU Cust Fcst'!$C13*'Non-Residential TSM UC Adj'!H14</f>
        <v>0</v>
      </c>
      <c r="I14" s="41">
        <f>IF(SUM(F14:H14)=0,0,SUM(F14:H14)/'Sch AL-TOU Cust Fcst'!C13)</f>
        <v>0</v>
      </c>
      <c r="J14" s="109">
        <f>'Sch OL-TOU Cust Fcst'!$D13*'Non-Residential TSM UC Adj'!J14</f>
        <v>0</v>
      </c>
      <c r="K14" s="23">
        <f>'Sch OL-TOU Cust Fcst'!$D13*'Non-Residential TSM UC Adj'!K14</f>
        <v>0</v>
      </c>
      <c r="L14" s="23">
        <f>'Sch OL-TOU Cust Fcst'!$D13*'Non-Residential TSM UC Adj'!L14</f>
        <v>0</v>
      </c>
      <c r="M14" s="41">
        <f>IF(SUM(J14:L14)=0,0,SUM(J14:L14)/'Sch AL-TOU Cust Fcst'!D13)</f>
        <v>0</v>
      </c>
      <c r="N14" s="109">
        <f>'Sch OL-TOU Cust Fcst'!$E13*'Non-Residential TSM UC Adj'!N14</f>
        <v>0</v>
      </c>
      <c r="O14" s="23">
        <f>'Sch OL-TOU Cust Fcst'!$E13*'Non-Residential TSM UC Adj'!O14</f>
        <v>0</v>
      </c>
      <c r="P14" s="23">
        <f>'Sch OL-TOU Cust Fcst'!$E13*'Non-Residential TSM UC Adj'!P14</f>
        <v>0</v>
      </c>
      <c r="Q14" s="41">
        <f>IF(SUM(N14:P14)=0,0,SUM(N14:P14)/'Sch AL-TOU Cust Fcst'!E13)</f>
        <v>0</v>
      </c>
      <c r="R14" s="23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IF(SUM(R14:T14)=0,0,SUM(R14:T14)/'Sch AL-TOU Cust Fcst'!F13)</f>
        <v>0</v>
      </c>
    </row>
    <row r="15" spans="1:23" ht="13">
      <c r="A15" s="126" t="s">
        <v>11</v>
      </c>
      <c r="B15" s="109">
        <f>'Sch OL-TOU Cust Fcst'!$B14*'Non-Residential TSM UC Adj'!B15</f>
        <v>0</v>
      </c>
      <c r="C15" s="23">
        <f>'Sch OL-TOU Cust Fcst'!$B14*'Non-Residential TSM UC Adj'!C15</f>
        <v>0</v>
      </c>
      <c r="D15" s="23">
        <f>'Sch OL-TOU Cust Fcst'!$B14*'Non-Residential TSM UC Adj'!D15</f>
        <v>0</v>
      </c>
      <c r="E15" s="41">
        <f>IF(SUM(B15:D15)=0,0,SUM(B15:D15)/'Sch AL-TOU Cust Fcst'!B14)</f>
        <v>0</v>
      </c>
      <c r="F15" s="109">
        <f>'Sch OL-TOU Cust Fcst'!$C14*'Non-Residential TSM UC Adj'!F15</f>
        <v>0</v>
      </c>
      <c r="G15" s="23">
        <f>'Sch OL-TOU Cust Fcst'!$C14*'Non-Residential TSM UC Adj'!G15</f>
        <v>0</v>
      </c>
      <c r="H15" s="23">
        <f>'Sch OL-TOU Cust Fcst'!$C14*'Non-Residential TSM UC Adj'!H15</f>
        <v>0</v>
      </c>
      <c r="I15" s="41">
        <f>IF(SUM(F15:H15)=0,0,SUM(F15:H15)/'Sch AL-TOU Cust Fcst'!C14)</f>
        <v>0</v>
      </c>
      <c r="J15" s="109">
        <f>'Sch OL-TOU Cust Fcst'!$D14*'Non-Residential TSM UC Adj'!J15</f>
        <v>0</v>
      </c>
      <c r="K15" s="23">
        <f>'Sch OL-TOU Cust Fcst'!$D14*'Non-Residential TSM UC Adj'!K15</f>
        <v>0</v>
      </c>
      <c r="L15" s="23">
        <f>'Sch OL-TOU Cust Fcst'!$D14*'Non-Residential TSM UC Adj'!L15</f>
        <v>0</v>
      </c>
      <c r="M15" s="41">
        <f>IF(SUM(J15:L15)=0,0,SUM(J15:L15)/'Sch AL-TOU Cust Fcst'!D14)</f>
        <v>0</v>
      </c>
      <c r="N15" s="109">
        <f>'Sch OL-TOU Cust Fcst'!$E14*'Non-Residential TSM UC Adj'!N15</f>
        <v>52531.153642294681</v>
      </c>
      <c r="O15" s="23">
        <f>'Sch OL-TOU Cust Fcst'!$E14*'Non-Residential TSM UC Adj'!O15</f>
        <v>4321.6498045209801</v>
      </c>
      <c r="P15" s="23">
        <f>'Sch OL-TOU Cust Fcst'!$E14*'Non-Residential TSM UC Adj'!P15</f>
        <v>2597.0275508744826</v>
      </c>
      <c r="Q15" s="41">
        <f>IF(SUM(N15:P15)=0,0,SUM(N15:P15)/'Sch AL-TOU Cust Fcst'!E14)</f>
        <v>2972.4915498845071</v>
      </c>
      <c r="R15" s="23">
        <f t="shared" si="1"/>
        <v>52531.153642294681</v>
      </c>
      <c r="S15" s="23">
        <f t="shared" si="0"/>
        <v>4321.6498045209801</v>
      </c>
      <c r="T15" s="23">
        <f t="shared" si="0"/>
        <v>2597.0275508744826</v>
      </c>
      <c r="U15" s="41">
        <f>IF(SUM(R15:T15)=0,0,SUM(R15:T15)/'Sch AL-TOU Cust Fcst'!F14)</f>
        <v>571.63299036240528</v>
      </c>
      <c r="W15" s="18"/>
    </row>
    <row r="16" spans="1:23" ht="13">
      <c r="A16" s="126" t="s">
        <v>101</v>
      </c>
      <c r="B16" s="109">
        <f>'Sch OL-TOU Cust Fcst'!$B15*'Non-Residential TSM UC Adj'!B16</f>
        <v>0</v>
      </c>
      <c r="C16" s="23">
        <f>'Sch OL-TOU Cust Fcst'!$B15*'Non-Residential TSM UC Adj'!C16</f>
        <v>0</v>
      </c>
      <c r="D16" s="23">
        <f>'Sch OL-TOU Cust Fcst'!$B15*'Non-Residential TSM UC Adj'!D16</f>
        <v>0</v>
      </c>
      <c r="E16" s="41">
        <f>IF(SUM(B16:D16)=0,0,SUM(B16:D16)/'Sch AL-TOU Cust Fcst'!B15)</f>
        <v>0</v>
      </c>
      <c r="F16" s="109">
        <f>'Sch OL-TOU Cust Fcst'!$C15*'Non-Residential TSM UC Adj'!F16</f>
        <v>0</v>
      </c>
      <c r="G16" s="23">
        <f>'Sch OL-TOU Cust Fcst'!$C15*'Non-Residential TSM UC Adj'!G16</f>
        <v>0</v>
      </c>
      <c r="H16" s="23">
        <f>'Sch OL-TOU Cust Fcst'!$C15*'Non-Residential TSM UC Adj'!H16</f>
        <v>0</v>
      </c>
      <c r="I16" s="41">
        <f>IF(SUM(F16:H16)=0,0,SUM(F16:H16)/'Sch AL-TOU Cust Fcst'!C15)</f>
        <v>0</v>
      </c>
      <c r="J16" s="109">
        <f>'Sch OL-TOU Cust Fcst'!$D15*'Non-Residential TSM UC Adj'!J16</f>
        <v>0</v>
      </c>
      <c r="K16" s="23">
        <f>'Sch OL-TOU Cust Fcst'!$D15*'Non-Residential TSM UC Adj'!K16</f>
        <v>0</v>
      </c>
      <c r="L16" s="23">
        <f>'Sch OL-TOU Cust Fcst'!$D15*'Non-Residential TSM UC Adj'!L16</f>
        <v>0</v>
      </c>
      <c r="M16" s="41">
        <f>IF(SUM(J16:L16)=0,0,SUM(J16:L16)/'Sch AL-TOU Cust Fcst'!D15)</f>
        <v>0</v>
      </c>
      <c r="N16" s="109">
        <f>'Sch OL-TOU Cust Fcst'!$E15*'Non-Residential TSM UC Adj'!N16</f>
        <v>0</v>
      </c>
      <c r="O16" s="23">
        <f>'Sch OL-TOU Cust Fcst'!$E15*'Non-Residential TSM UC Adj'!O16</f>
        <v>0</v>
      </c>
      <c r="P16" s="23">
        <f>'Sch OL-TOU Cust Fcst'!$E15*'Non-Residential TSM UC Adj'!P16</f>
        <v>0</v>
      </c>
      <c r="Q16" s="41">
        <f>IF(SUM(N16:P16)=0,0,SUM(N16:P16)/'Sch AL-TOU Cust Fcst'!E15)</f>
        <v>0</v>
      </c>
      <c r="R16" s="23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IF(SUM(R16:T16)=0,0,SUM(R16:T16)/'Sch AL-TOU Cust Fcst'!F15)</f>
        <v>0</v>
      </c>
    </row>
    <row r="17" spans="1:21" ht="13">
      <c r="A17" s="126" t="s">
        <v>102</v>
      </c>
      <c r="B17" s="109">
        <f>'Sch OL-TOU Cust Fcst'!$B16*'Non-Residential TSM UC Adj'!J17</f>
        <v>0</v>
      </c>
      <c r="C17" s="23">
        <f>'Sch OL-TOU Cust Fcst'!$B16*'Non-Residential TSM UC Adj'!K17</f>
        <v>0</v>
      </c>
      <c r="D17" s="23">
        <f>'Sch OL-TOU Cust Fcst'!$B16*'Non-Residential TSM UC Adj'!L17</f>
        <v>0</v>
      </c>
      <c r="E17" s="41">
        <f>IF(SUM(B17:D17)=0,0,SUM(B17:D17)/'Sch AL-TOU Cust Fcst'!B16)</f>
        <v>0</v>
      </c>
      <c r="F17" s="109">
        <f>'Sch OL-TOU Cust Fcst'!$C16*'Non-Residential TSM UC Adj'!F17</f>
        <v>0</v>
      </c>
      <c r="G17" s="23">
        <f>'Sch OL-TOU Cust Fcst'!$C16*'Non-Residential TSM UC Adj'!G17</f>
        <v>0</v>
      </c>
      <c r="H17" s="23">
        <f>'Sch OL-TOU Cust Fcst'!$C16*'Non-Residential TSM UC Adj'!H17</f>
        <v>0</v>
      </c>
      <c r="I17" s="41">
        <f>IF(SUM(F17:H17)=0,0,SUM(F17:H17)/'Sch AL-TOU Cust Fcst'!C16)</f>
        <v>0</v>
      </c>
      <c r="J17" s="109">
        <f>'Sch OL-TOU Cust Fcst'!$D16*'Non-Residential TSM UC Adj'!J17</f>
        <v>0</v>
      </c>
      <c r="K17" s="23">
        <f>'Sch OL-TOU Cust Fcst'!$D16*'Non-Residential TSM UC Adj'!K17</f>
        <v>0</v>
      </c>
      <c r="L17" s="23">
        <f>'Sch OL-TOU Cust Fcst'!$D16*'Non-Residential TSM UC Adj'!L17</f>
        <v>0</v>
      </c>
      <c r="M17" s="41">
        <f>IF(SUM(J17:L17)=0,0,SUM(J17:L17)/'Sch AL-TOU Cust Fcst'!D16)</f>
        <v>0</v>
      </c>
      <c r="N17" s="109">
        <f>'Sch OL-TOU Cust Fcst'!$E16*'Non-Residential TSM UC Adj'!N17</f>
        <v>0</v>
      </c>
      <c r="O17" s="23">
        <f>'Sch OL-TOU Cust Fcst'!$E16*'Non-Residential TSM UC Adj'!O17</f>
        <v>0</v>
      </c>
      <c r="P17" s="23">
        <f>'Sch OL-TOU Cust Fcst'!$E16*'Non-Residential TSM UC Adj'!P17</f>
        <v>0</v>
      </c>
      <c r="Q17" s="41">
        <f>IF(SUM(N17:P17)=0,0,SUM(N17:P17)/'Sch AL-TOU Cust Fcst'!E16)</f>
        <v>0</v>
      </c>
      <c r="R17" s="23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IF(SUM(R17:T17)=0,0,SUM(R17:T17)/'Sch AL-TOU Cust Fcst'!F16)</f>
        <v>0</v>
      </c>
    </row>
    <row r="18" spans="1:21" ht="13">
      <c r="A18" s="126" t="s">
        <v>12</v>
      </c>
      <c r="B18" s="109">
        <f>'Sch OL-TOU Cust Fcst'!$B17*'Non-Residential TSM UC Adj'!J18</f>
        <v>0</v>
      </c>
      <c r="C18" s="23">
        <f>'Sch OL-TOU Cust Fcst'!$B17*'Non-Residential TSM UC Adj'!K18</f>
        <v>0</v>
      </c>
      <c r="D18" s="23">
        <f>'Sch OL-TOU Cust Fcst'!$B17*'Non-Residential TSM UC Adj'!L18</f>
        <v>0</v>
      </c>
      <c r="E18" s="41">
        <f>IF(SUM(B18:D18)=0,0,SUM(B18:D18)/'Sch AL-TOU Cust Fcst'!B17)</f>
        <v>0</v>
      </c>
      <c r="F18" s="109">
        <f>'Sch OL-TOU Cust Fcst'!$C17*'Non-Residential TSM UC Adj'!J18</f>
        <v>0</v>
      </c>
      <c r="G18" s="23">
        <f>'Sch OL-TOU Cust Fcst'!$C17*'Non-Residential TSM UC Adj'!K18</f>
        <v>0</v>
      </c>
      <c r="H18" s="23">
        <f>'Sch OL-TOU Cust Fcst'!$C17*'Non-Residential TSM UC Adj'!L18</f>
        <v>0</v>
      </c>
      <c r="I18" s="41">
        <f>IF(SUM(F18:H18)=0,0,SUM(F18:H18)/'Sch AL-TOU Cust Fcst'!C17)</f>
        <v>0</v>
      </c>
      <c r="J18" s="109">
        <f>'Sch OL-TOU Cust Fcst'!$D17*'Non-Residential TSM UC Adj'!J18</f>
        <v>0</v>
      </c>
      <c r="K18" s="23">
        <f>'Sch OL-TOU Cust Fcst'!$D17*'Non-Residential TSM UC Adj'!K18</f>
        <v>0</v>
      </c>
      <c r="L18" s="23">
        <f>'Sch OL-TOU Cust Fcst'!$D17*'Non-Residential TSM UC Adj'!L18</f>
        <v>0</v>
      </c>
      <c r="M18" s="41">
        <f>IF(SUM(J18:L18)=0,0,SUM(J18:L18)/'Sch AL-TOU Cust Fcst'!D17)</f>
        <v>0</v>
      </c>
      <c r="N18" s="109">
        <f>'Sch OL-TOU Cust Fcst'!$E17*'Non-Residential TSM UC Adj'!N18</f>
        <v>0</v>
      </c>
      <c r="O18" s="23">
        <f>'Sch OL-TOU Cust Fcst'!$E17*'Non-Residential TSM UC Adj'!O18</f>
        <v>0</v>
      </c>
      <c r="P18" s="23">
        <f>'Sch OL-TOU Cust Fcst'!$E17*'Non-Residential TSM UC Adj'!P18</f>
        <v>0</v>
      </c>
      <c r="Q18" s="41">
        <f>IF(SUM(N18:P18)=0,0,SUM(N18:P18)/'Sch AL-TOU Cust Fcst'!E17)</f>
        <v>0</v>
      </c>
      <c r="R18" s="23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IF(SUM(R18:T18)=0,0,SUM(R18:T18)/'Sch AL-TOU Cust Fcst'!F17)</f>
        <v>0</v>
      </c>
    </row>
    <row r="19" spans="1:21" ht="13">
      <c r="A19" s="126" t="s">
        <v>13</v>
      </c>
      <c r="B19" s="109">
        <f>'Sch OL-TOU Cust Fcst'!$B18*'Non-Residential TSM UC Adj'!J19</f>
        <v>0</v>
      </c>
      <c r="C19" s="23">
        <f>'Sch OL-TOU Cust Fcst'!$B18*'Non-Residential TSM UC Adj'!K19</f>
        <v>0</v>
      </c>
      <c r="D19" s="23">
        <f>'Sch OL-TOU Cust Fcst'!$B18*'Non-Residential TSM UC Adj'!L19</f>
        <v>0</v>
      </c>
      <c r="E19" s="41">
        <f>IF(SUM(B19:D19)=0,0,SUM(B19:D19)/'Sch AL-TOU Cust Fcst'!B18)</f>
        <v>0</v>
      </c>
      <c r="F19" s="109">
        <f>'Sch OL-TOU Cust Fcst'!$C18*'Non-Residential TSM UC Adj'!J19</f>
        <v>0</v>
      </c>
      <c r="G19" s="23">
        <f>'Sch OL-TOU Cust Fcst'!$C18*'Non-Residential TSM UC Adj'!K19</f>
        <v>0</v>
      </c>
      <c r="H19" s="23">
        <f>'Sch OL-TOU Cust Fcst'!$C18*'Non-Residential TSM UC Adj'!L19</f>
        <v>0</v>
      </c>
      <c r="I19" s="41">
        <f>IF(SUM(F19:H19)=0,0,SUM(F19:H19)/'Sch AL-TOU Cust Fcst'!C18)</f>
        <v>0</v>
      </c>
      <c r="J19" s="109">
        <f>'Sch OL-TOU Cust Fcst'!$D18*'Non-Residential TSM UC Adj'!J19</f>
        <v>0</v>
      </c>
      <c r="K19" s="23">
        <f>'Sch OL-TOU Cust Fcst'!$D18*'Non-Residential TSM UC Adj'!K19</f>
        <v>0</v>
      </c>
      <c r="L19" s="23">
        <f>'Sch OL-TOU Cust Fcst'!$D18*'Non-Residential TSM UC Adj'!L19</f>
        <v>0</v>
      </c>
      <c r="M19" s="41">
        <f>IF(SUM(J19:L19)=0,0,SUM(J19:L19)/'Sch AL-TOU Cust Fcst'!D18)</f>
        <v>0</v>
      </c>
      <c r="N19" s="109">
        <f>'Sch OL-TOU Cust Fcst'!$E18*'Non-Residential TSM UC Adj'!N19</f>
        <v>0</v>
      </c>
      <c r="O19" s="23">
        <f>'Sch OL-TOU Cust Fcst'!$E18*'Non-Residential TSM UC Adj'!O19</f>
        <v>0</v>
      </c>
      <c r="P19" s="23">
        <f>'Sch OL-TOU Cust Fcst'!$E18*'Non-Residential TSM UC Adj'!P19</f>
        <v>0</v>
      </c>
      <c r="Q19" s="41">
        <f>IF(SUM(N19:P19)=0,0,SUM(N19:P19)/'Sch AL-TOU Cust Fcst'!E18)</f>
        <v>0</v>
      </c>
      <c r="R19" s="23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IF(SUM(R19:T19)=0,0,SUM(R19:T19)/'Sch AL-TOU Cust Fcst'!F18)</f>
        <v>0</v>
      </c>
    </row>
    <row r="20" spans="1:21" ht="13">
      <c r="A20" s="126" t="s">
        <v>103</v>
      </c>
      <c r="B20" s="109">
        <f>'Sch OL-TOU Cust Fcst'!$B19*'Non-Residential TSM UC Adj'!J20</f>
        <v>0</v>
      </c>
      <c r="C20" s="23">
        <f>'Sch OL-TOU Cust Fcst'!$B19*'Non-Residential TSM UC Adj'!K20</f>
        <v>0</v>
      </c>
      <c r="D20" s="23">
        <f>'Sch OL-TOU Cust Fcst'!$B19*'Non-Residential TSM UC Adj'!L20</f>
        <v>0</v>
      </c>
      <c r="E20" s="41">
        <f>IF(SUM(B20:D20)=0,0,SUM(B20:D20)/'Sch AL-TOU Cust Fcst'!B19)</f>
        <v>0</v>
      </c>
      <c r="F20" s="109">
        <f>'Sch OL-TOU Cust Fcst'!$C19*'Non-Residential TSM UC Adj'!J20</f>
        <v>0</v>
      </c>
      <c r="G20" s="23">
        <f>'Sch OL-TOU Cust Fcst'!$C19*'Non-Residential TSM UC Adj'!K20</f>
        <v>0</v>
      </c>
      <c r="H20" s="23">
        <f>'Sch OL-TOU Cust Fcst'!$C19*'Non-Residential TSM UC Adj'!L20</f>
        <v>0</v>
      </c>
      <c r="I20" s="41">
        <f>IF(SUM(F20:H20)=0,0,SUM(F20:H20)/'Sch AL-TOU Cust Fcst'!C19)</f>
        <v>0</v>
      </c>
      <c r="J20" s="109">
        <f>'Sch OL-TOU Cust Fcst'!$D19*'Non-Residential TSM UC Adj'!J20</f>
        <v>0</v>
      </c>
      <c r="K20" s="23">
        <f>'Sch OL-TOU Cust Fcst'!$D19*'Non-Residential TSM UC Adj'!K20</f>
        <v>0</v>
      </c>
      <c r="L20" s="23">
        <f>'Sch OL-TOU Cust Fcst'!$D19*'Non-Residential TSM UC Adj'!L20</f>
        <v>0</v>
      </c>
      <c r="M20" s="41">
        <f>IF(SUM(J20:L20)=0,0,SUM(J20:L20)/'Sch AL-TOU Cust Fcst'!D19)</f>
        <v>0</v>
      </c>
      <c r="N20" s="109">
        <f>'Sch OL-TOU Cust Fcst'!$E19*'Non-Residential TSM UC Adj'!N20</f>
        <v>0</v>
      </c>
      <c r="O20" s="23">
        <f>'Sch OL-TOU Cust Fcst'!$E19*'Non-Residential TSM UC Adj'!O20</f>
        <v>0</v>
      </c>
      <c r="P20" s="23">
        <f>'Sch OL-TOU Cust Fcst'!$E19*'Non-Residential TSM UC Adj'!P20</f>
        <v>0</v>
      </c>
      <c r="Q20" s="41">
        <f>IF(SUM(N20:P20)=0,0,SUM(N20:P20)/'Sch AL-TOU Cust Fcst'!E19)</f>
        <v>0</v>
      </c>
      <c r="R20" s="23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IF(SUM(R20:T20)=0,0,SUM(R20:T20)/'Sch AL-TOU Cust Fcst'!F19)</f>
        <v>0</v>
      </c>
    </row>
    <row r="21" spans="1:21" ht="13">
      <c r="A21" s="126" t="s">
        <v>104</v>
      </c>
      <c r="B21" s="109">
        <f>'Sch OL-TOU Cust Fcst'!$B20*'Non-Residential TSM UC Adj'!J21</f>
        <v>0</v>
      </c>
      <c r="C21" s="23">
        <f>'Sch OL-TOU Cust Fcst'!$B20*'Non-Residential TSM UC Adj'!K21</f>
        <v>0</v>
      </c>
      <c r="D21" s="23">
        <f>'Sch OL-TOU Cust Fcst'!$B20*'Non-Residential TSM UC Adj'!L21</f>
        <v>0</v>
      </c>
      <c r="E21" s="41">
        <f>IF(SUM(B21:D21)=0,0,SUM(B21:D21)/'Sch AL-TOU Cust Fcst'!B20)</f>
        <v>0</v>
      </c>
      <c r="F21" s="109">
        <f>'Sch OL-TOU Cust Fcst'!$C20*'Non-Residential TSM UC Adj'!J21</f>
        <v>0</v>
      </c>
      <c r="G21" s="23">
        <f>'Sch OL-TOU Cust Fcst'!$C20*'Non-Residential TSM UC Adj'!K21</f>
        <v>0</v>
      </c>
      <c r="H21" s="23">
        <f>'Sch OL-TOU Cust Fcst'!$C20*'Non-Residential TSM UC Adj'!L21</f>
        <v>0</v>
      </c>
      <c r="I21" s="41">
        <f>IF(SUM(F21:H21)=0,0,SUM(F21:H21)/'Sch AL-TOU Cust Fcst'!C20)</f>
        <v>0</v>
      </c>
      <c r="J21" s="109">
        <f>'Sch OL-TOU Cust Fcst'!$D20*'Non-Residential TSM UC Adj'!J21</f>
        <v>0</v>
      </c>
      <c r="K21" s="23">
        <f>'Sch OL-TOU Cust Fcst'!$D20*'Non-Residential TSM UC Adj'!K21</f>
        <v>0</v>
      </c>
      <c r="L21" s="23">
        <f>'Sch OL-TOU Cust Fcst'!$D20*'Non-Residential TSM UC Adj'!L21</f>
        <v>0</v>
      </c>
      <c r="M21" s="41">
        <f>IF(SUM(J21:L21)=0,0,SUM(J21:L21)/'Sch AL-TOU Cust Fcst'!D20)</f>
        <v>0</v>
      </c>
      <c r="N21" s="109">
        <f>'Sch OL-TOU Cust Fcst'!$E20*'Non-Residential TSM UC Adj'!N21</f>
        <v>0</v>
      </c>
      <c r="O21" s="23">
        <f>'Sch OL-TOU Cust Fcst'!$E20*'Non-Residential TSM UC Adj'!O21</f>
        <v>0</v>
      </c>
      <c r="P21" s="23">
        <f>'Sch OL-TOU Cust Fcst'!$E20*'Non-Residential TSM UC Adj'!P21</f>
        <v>0</v>
      </c>
      <c r="Q21" s="41">
        <f>IF(SUM(N21:P21)=0,0,SUM(N21:P21)/'Sch AL-TOU Cust Fcst'!E20)</f>
        <v>0</v>
      </c>
      <c r="R21" s="23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IF(SUM(R21:T21)=0,0,SUM(R21:T21)/'Sch AL-TOU Cust Fcst'!F20)</f>
        <v>0</v>
      </c>
    </row>
    <row r="22" spans="1:21" ht="13">
      <c r="A22" s="124" t="s">
        <v>14</v>
      </c>
      <c r="B22" s="109">
        <f>'Sch OL-TOU Cust Fcst'!$B21*'Non-Residential TSM UC Adj'!J22</f>
        <v>0</v>
      </c>
      <c r="C22" s="23">
        <f>'Sch OL-TOU Cust Fcst'!$B21*'Non-Residential TSM UC Adj'!K22</f>
        <v>0</v>
      </c>
      <c r="D22" s="23">
        <f>'Sch OL-TOU Cust Fcst'!$B21*'Non-Residential TSM UC Adj'!L22</f>
        <v>0</v>
      </c>
      <c r="E22" s="41">
        <f>IF(SUM(B22:D22)=0,0,SUM(B22:D22)/'Sch AL-TOU Cust Fcst'!B21)</f>
        <v>0</v>
      </c>
      <c r="F22" s="109">
        <f>'Sch OL-TOU Cust Fcst'!$C21*'Non-Residential TSM UC Adj'!J22</f>
        <v>0</v>
      </c>
      <c r="G22" s="23">
        <f>'Sch OL-TOU Cust Fcst'!$C21*'Non-Residential TSM UC Adj'!K22</f>
        <v>0</v>
      </c>
      <c r="H22" s="23">
        <f>'Sch OL-TOU Cust Fcst'!$C21*'Non-Residential TSM UC Adj'!L22</f>
        <v>0</v>
      </c>
      <c r="I22" s="41">
        <f>IF(SUM(F22:H22)=0,0,SUM(F22:H22)/'Sch AL-TOU Cust Fcst'!C21)</f>
        <v>0</v>
      </c>
      <c r="J22" s="109">
        <f>'Sch OL-TOU Cust Fcst'!$D21*'Non-Residential TSM UC Adj'!J22</f>
        <v>0</v>
      </c>
      <c r="K22" s="23">
        <f>'Sch OL-TOU Cust Fcst'!$D21*'Non-Residential TSM UC Adj'!K22</f>
        <v>0</v>
      </c>
      <c r="L22" s="23">
        <f>'Sch OL-TOU Cust Fcst'!$D21*'Non-Residential TSM UC Adj'!L22</f>
        <v>0</v>
      </c>
      <c r="M22" s="41">
        <f>IF(SUM(J22:L22)=0,0,SUM(J22:L22)/'Sch AL-TOU Cust Fcst'!D21)</f>
        <v>0</v>
      </c>
      <c r="N22" s="109">
        <f>'Sch OL-TOU Cust Fcst'!$E21*'Non-Residential TSM UC Adj'!N22</f>
        <v>0</v>
      </c>
      <c r="O22" s="23">
        <f>'Sch OL-TOU Cust Fcst'!$E21*'Non-Residential TSM UC Adj'!O22</f>
        <v>0</v>
      </c>
      <c r="P22" s="23">
        <f>'Sch OL-TOU Cust Fcst'!$E21*'Non-Residential TSM UC Adj'!P22</f>
        <v>0</v>
      </c>
      <c r="Q22" s="41">
        <f>IF(SUM(N22:P22)=0,0,SUM(N22:P22)/'Sch AL-TOU Cust Fcst'!E21)</f>
        <v>0</v>
      </c>
      <c r="R22" s="23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IF(SUM(R22:T22)=0,0,SUM(R22:T22)/'Sch AL-TOU Cust Fcst'!F21)</f>
        <v>0</v>
      </c>
    </row>
    <row r="23" spans="1:21" ht="13">
      <c r="A23" s="126" t="s">
        <v>15</v>
      </c>
      <c r="B23" s="109">
        <f>'Sch OL-TOU Cust Fcst'!$B22*'Non-Residential TSM UC Adj'!J23</f>
        <v>0</v>
      </c>
      <c r="C23" s="23">
        <f>'Sch OL-TOU Cust Fcst'!$B22*'Non-Residential TSM UC Adj'!K23</f>
        <v>0</v>
      </c>
      <c r="D23" s="23">
        <f>'Sch OL-TOU Cust Fcst'!$B22*'Non-Residential TSM UC Adj'!L23</f>
        <v>0</v>
      </c>
      <c r="E23" s="41">
        <f>IF(SUM(B23:D23)=0,0,SUM(B23:D23)/'Sch AL-TOU Cust Fcst'!B22)</f>
        <v>0</v>
      </c>
      <c r="F23" s="109">
        <f>'Sch OL-TOU Cust Fcst'!$C22*'Non-Residential TSM UC Adj'!J23</f>
        <v>0</v>
      </c>
      <c r="G23" s="23">
        <f>'Sch OL-TOU Cust Fcst'!$C22*'Non-Residential TSM UC Adj'!K23</f>
        <v>0</v>
      </c>
      <c r="H23" s="23">
        <f>'Sch OL-TOU Cust Fcst'!$C22*'Non-Residential TSM UC Adj'!L23</f>
        <v>0</v>
      </c>
      <c r="I23" s="41">
        <f>IF(SUM(F23:H23)=0,0,SUM(F23:H23)/'Sch AL-TOU Cust Fcst'!C22)</f>
        <v>0</v>
      </c>
      <c r="J23" s="109">
        <f>'Sch OL-TOU Cust Fcst'!$D22*'Non-Residential TSM UC Adj'!J23</f>
        <v>0</v>
      </c>
      <c r="K23" s="23">
        <f>'Sch OL-TOU Cust Fcst'!$D22*'Non-Residential TSM UC Adj'!K23</f>
        <v>0</v>
      </c>
      <c r="L23" s="23">
        <f>'Sch OL-TOU Cust Fcst'!$D22*'Non-Residential TSM UC Adj'!L23</f>
        <v>0</v>
      </c>
      <c r="M23" s="41">
        <f>IF(SUM(J23:L23)=0,0,SUM(J23:L23)/'Sch AL-TOU Cust Fcst'!D22)</f>
        <v>0</v>
      </c>
      <c r="N23" s="109">
        <f>'Sch OL-TOU Cust Fcst'!$E22*'Non-Residential TSM UC Adj'!N23</f>
        <v>0</v>
      </c>
      <c r="O23" s="23">
        <f>'Sch OL-TOU Cust Fcst'!$E22*'Non-Residential TSM UC Adj'!O23</f>
        <v>0</v>
      </c>
      <c r="P23" s="23">
        <f>'Sch OL-TOU Cust Fcst'!$E22*'Non-Residential TSM UC Adj'!P23</f>
        <v>0</v>
      </c>
      <c r="Q23" s="41">
        <f>IF(SUM(N23:P23)=0,0,SUM(N23:P23)/'Sch AL-TOU Cust Fcst'!E22)</f>
        <v>0</v>
      </c>
      <c r="R23" s="23">
        <f t="shared" si="1"/>
        <v>0</v>
      </c>
      <c r="S23" s="23">
        <f t="shared" ref="S23:S37" si="2">C23+G23+K23+O23</f>
        <v>0</v>
      </c>
      <c r="T23" s="23">
        <f t="shared" ref="T23:T37" si="3">D23+H23+L23+P23</f>
        <v>0</v>
      </c>
      <c r="U23" s="41">
        <f>IF(SUM(R23:T23)=0,0,SUM(R23:T23)/'Sch AL-TOU Cust Fcst'!F22)</f>
        <v>0</v>
      </c>
    </row>
    <row r="24" spans="1:21" ht="13">
      <c r="A24" s="126" t="s">
        <v>16</v>
      </c>
      <c r="B24" s="109">
        <f>'Sch OL-TOU Cust Fcst'!$B23*'Non-Residential TSM UC Adj'!J24</f>
        <v>0</v>
      </c>
      <c r="C24" s="23">
        <f>'Sch OL-TOU Cust Fcst'!$B23*'Non-Residential TSM UC Adj'!K24</f>
        <v>0</v>
      </c>
      <c r="D24" s="23">
        <f>'Sch OL-TOU Cust Fcst'!$B23*'Non-Residential TSM UC Adj'!L24</f>
        <v>0</v>
      </c>
      <c r="E24" s="41">
        <f>IF(SUM(B24:D24)=0,0,SUM(B24:D24)/'Sch AL-TOU Cust Fcst'!B23)</f>
        <v>0</v>
      </c>
      <c r="F24" s="109">
        <f>'Sch OL-TOU Cust Fcst'!$C23*'Non-Residential TSM UC Adj'!J24</f>
        <v>0</v>
      </c>
      <c r="G24" s="23">
        <f>'Sch OL-TOU Cust Fcst'!$C23*'Non-Residential TSM UC Adj'!K24</f>
        <v>0</v>
      </c>
      <c r="H24" s="23">
        <f>'Sch OL-TOU Cust Fcst'!$C23*'Non-Residential TSM UC Adj'!L24</f>
        <v>0</v>
      </c>
      <c r="I24" s="41">
        <f>IF(SUM(F24:H24)=0,0,SUM(F24:H24)/'Sch AL-TOU Cust Fcst'!C23)</f>
        <v>0</v>
      </c>
      <c r="J24" s="109">
        <f>'Sch OL-TOU Cust Fcst'!$D23*'Non-Residential TSM UC Adj'!J24</f>
        <v>0</v>
      </c>
      <c r="K24" s="23">
        <f>'Sch OL-TOU Cust Fcst'!$D23*'Non-Residential TSM UC Adj'!K24</f>
        <v>0</v>
      </c>
      <c r="L24" s="23">
        <f>'Sch OL-TOU Cust Fcst'!$D23*'Non-Residential TSM UC Adj'!L24</f>
        <v>0</v>
      </c>
      <c r="M24" s="41">
        <f>IF(SUM(J24:L24)=0,0,SUM(J24:L24)/'Sch AL-TOU Cust Fcst'!D23)</f>
        <v>0</v>
      </c>
      <c r="N24" s="109">
        <f>'Sch OL-TOU Cust Fcst'!$E23*'Non-Residential TSM UC Adj'!N24</f>
        <v>0</v>
      </c>
      <c r="O24" s="23">
        <f>'Sch OL-TOU Cust Fcst'!$E23*'Non-Residential TSM UC Adj'!O24</f>
        <v>0</v>
      </c>
      <c r="P24" s="23">
        <f>'Sch OL-TOU Cust Fcst'!$E23*'Non-Residential TSM UC Adj'!P24</f>
        <v>0</v>
      </c>
      <c r="Q24" s="41">
        <f>IF(SUM(N24:P24)=0,0,SUM(N24:P24)/'Sch AL-TOU Cust Fcst'!E23)</f>
        <v>0</v>
      </c>
      <c r="R24" s="23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AL-TOU Cust Fcst'!F23)</f>
        <v>0</v>
      </c>
    </row>
    <row r="25" spans="1:21" ht="13">
      <c r="A25" s="126" t="s">
        <v>17</v>
      </c>
      <c r="B25" s="109">
        <f>'Sch OL-TOU Cust Fcst'!$B24*'Non-Residential TSM UC Adj'!J25</f>
        <v>0</v>
      </c>
      <c r="C25" s="23">
        <f>'Sch OL-TOU Cust Fcst'!$B24*'Non-Residential TSM UC Adj'!K25</f>
        <v>0</v>
      </c>
      <c r="D25" s="23">
        <f>'Sch OL-TOU Cust Fcst'!$B24*'Non-Residential TSM UC Adj'!L25</f>
        <v>0</v>
      </c>
      <c r="E25" s="41">
        <f>IF(SUM(B25:D25)=0,0,SUM(B25:D25)/'Sch AL-TOU Cust Fcst'!B24)</f>
        <v>0</v>
      </c>
      <c r="F25" s="109">
        <f>'Sch OL-TOU Cust Fcst'!$C24*'Non-Residential TSM UC Adj'!J25</f>
        <v>0</v>
      </c>
      <c r="G25" s="23">
        <f>'Sch OL-TOU Cust Fcst'!$C24*'Non-Residential TSM UC Adj'!K25</f>
        <v>0</v>
      </c>
      <c r="H25" s="23">
        <f>'Sch OL-TOU Cust Fcst'!$C24*'Non-Residential TSM UC Adj'!L25</f>
        <v>0</v>
      </c>
      <c r="I25" s="41">
        <f>IF(SUM(F25:H25)=0,0,SUM(F25:H25)/'Sch AL-TOU Cust Fcst'!C24)</f>
        <v>0</v>
      </c>
      <c r="J25" s="109">
        <f>'Sch OL-TOU Cust Fcst'!$D24*'Non-Residential TSM UC Adj'!J25</f>
        <v>0</v>
      </c>
      <c r="K25" s="23">
        <f>'Sch OL-TOU Cust Fcst'!$D24*'Non-Residential TSM UC Adj'!K25</f>
        <v>0</v>
      </c>
      <c r="L25" s="23">
        <f>'Sch OL-TOU Cust Fcst'!$D24*'Non-Residential TSM UC Adj'!L25</f>
        <v>0</v>
      </c>
      <c r="M25" s="41">
        <f>IF(SUM(J25:L25)=0,0,SUM(J25:L25)/'Sch AL-TOU Cust Fcst'!D24)</f>
        <v>0</v>
      </c>
      <c r="N25" s="109">
        <f>'Sch OL-TOU Cust Fcst'!$E24*'Non-Residential TSM UC Adj'!N25</f>
        <v>0</v>
      </c>
      <c r="O25" s="23">
        <f>'Sch OL-TOU Cust Fcst'!$E24*'Non-Residential TSM UC Adj'!O25</f>
        <v>0</v>
      </c>
      <c r="P25" s="23">
        <f>'Sch OL-TOU Cust Fcst'!$E24*'Non-Residential TSM UC Adj'!P25</f>
        <v>0</v>
      </c>
      <c r="Q25" s="41">
        <f>IF(SUM(N25:P25)=0,0,SUM(N25:P25)/'Sch AL-TOU Cust Fcst'!E24)</f>
        <v>0</v>
      </c>
      <c r="R25" s="23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AL-TOU Cust Fcst'!F24)</f>
        <v>0</v>
      </c>
    </row>
    <row r="26" spans="1:21" ht="13">
      <c r="A26" s="126" t="s">
        <v>18</v>
      </c>
      <c r="B26" s="109">
        <f>'Sch OL-TOU Cust Fcst'!$B25*'Non-Residential TSM UC Adj'!J26</f>
        <v>0</v>
      </c>
      <c r="C26" s="23">
        <f>'Sch OL-TOU Cust Fcst'!$B25*'Non-Residential TSM UC Adj'!K26</f>
        <v>0</v>
      </c>
      <c r="D26" s="23">
        <f>'Sch OL-TOU Cust Fcst'!$B25*'Non-Residential TSM UC Adj'!L26</f>
        <v>0</v>
      </c>
      <c r="E26" s="41">
        <f>IF(SUM(B26:D26)=0,0,SUM(B26:D26)/'Sch AL-TOU Cust Fcst'!B25)</f>
        <v>0</v>
      </c>
      <c r="F26" s="109">
        <f>'Sch OL-TOU Cust Fcst'!$C25*'Non-Residential TSM UC Adj'!J26</f>
        <v>0</v>
      </c>
      <c r="G26" s="23">
        <f>'Sch OL-TOU Cust Fcst'!$C25*'Non-Residential TSM UC Adj'!K26</f>
        <v>0</v>
      </c>
      <c r="H26" s="23">
        <f>'Sch OL-TOU Cust Fcst'!$C25*'Non-Residential TSM UC Adj'!L26</f>
        <v>0</v>
      </c>
      <c r="I26" s="41">
        <f>IF(SUM(F26:H26)=0,0,SUM(F26:H26)/'Sch AL-TOU Cust Fcst'!C25)</f>
        <v>0</v>
      </c>
      <c r="J26" s="109">
        <f>'Sch OL-TOU Cust Fcst'!$D25*'Non-Residential TSM UC Adj'!J26</f>
        <v>0</v>
      </c>
      <c r="K26" s="23">
        <f>'Sch OL-TOU Cust Fcst'!$D25*'Non-Residential TSM UC Adj'!K26</f>
        <v>0</v>
      </c>
      <c r="L26" s="23">
        <f>'Sch OL-TOU Cust Fcst'!$D25*'Non-Residential TSM UC Adj'!L26</f>
        <v>0</v>
      </c>
      <c r="M26" s="41">
        <f>IF(SUM(J26:L26)=0,0,SUM(J26:L26)/'Sch AL-TOU Cust Fcst'!D25)</f>
        <v>0</v>
      </c>
      <c r="N26" s="109">
        <f>'Sch OL-TOU Cust Fcst'!$E25*'Non-Residential TSM UC Adj'!N26</f>
        <v>0</v>
      </c>
      <c r="O26" s="23">
        <f>'Sch OL-TOU Cust Fcst'!$E25*'Non-Residential TSM UC Adj'!O26</f>
        <v>0</v>
      </c>
      <c r="P26" s="23">
        <f>'Sch OL-TOU Cust Fcst'!$E25*'Non-Residential TSM UC Adj'!P26</f>
        <v>0</v>
      </c>
      <c r="Q26" s="41">
        <f>IF(SUM(N26:P26)=0,0,SUM(N26:P26)/'Sch AL-TOU Cust Fcst'!E25)</f>
        <v>0</v>
      </c>
      <c r="R26" s="23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AL-TOU Cust Fcst'!F25)</f>
        <v>0</v>
      </c>
    </row>
    <row r="27" spans="1:21" ht="13">
      <c r="A27" s="126" t="s">
        <v>19</v>
      </c>
      <c r="B27" s="109">
        <f>'Sch OL-TOU Cust Fcst'!$B26*'Non-Residential TSM UC Adj'!J27</f>
        <v>0</v>
      </c>
      <c r="C27" s="23">
        <f>'Sch OL-TOU Cust Fcst'!$B26*'Non-Residential TSM UC Adj'!K27</f>
        <v>0</v>
      </c>
      <c r="D27" s="23">
        <f>'Sch OL-TOU Cust Fcst'!$B26*'Non-Residential TSM UC Adj'!L27</f>
        <v>0</v>
      </c>
      <c r="E27" s="41">
        <f>IF(SUM(B27:D27)=0,0,SUM(B27:D27)/'Sch AL-TOU Cust Fcst'!B26)</f>
        <v>0</v>
      </c>
      <c r="F27" s="109">
        <f>'Sch OL-TOU Cust Fcst'!$C26*'Non-Residential TSM UC Adj'!J27</f>
        <v>0</v>
      </c>
      <c r="G27" s="23">
        <f>'Sch OL-TOU Cust Fcst'!$C26*'Non-Residential TSM UC Adj'!K27</f>
        <v>0</v>
      </c>
      <c r="H27" s="23">
        <f>'Sch OL-TOU Cust Fcst'!$C26*'Non-Residential TSM UC Adj'!L27</f>
        <v>0</v>
      </c>
      <c r="I27" s="41">
        <f>IF(SUM(F27:H27)=0,0,SUM(F27:H27)/'Sch AL-TOU Cust Fcst'!C26)</f>
        <v>0</v>
      </c>
      <c r="J27" s="109">
        <f>'Sch OL-TOU Cust Fcst'!$D26*'Non-Residential TSM UC Adj'!J27</f>
        <v>0</v>
      </c>
      <c r="K27" s="23">
        <f>'Sch OL-TOU Cust Fcst'!$D26*'Non-Residential TSM UC Adj'!K27</f>
        <v>0</v>
      </c>
      <c r="L27" s="23">
        <f>'Sch OL-TOU Cust Fcst'!$D26*'Non-Residential TSM UC Adj'!L27</f>
        <v>0</v>
      </c>
      <c r="M27" s="41">
        <f>IF(SUM(J27:L27)=0,0,SUM(J27:L27)/'Sch AL-TOU Cust Fcst'!D26)</f>
        <v>0</v>
      </c>
      <c r="N27" s="109">
        <f>'Sch OL-TOU Cust Fcst'!$E26*'Non-Residential TSM UC Adj'!N27</f>
        <v>0</v>
      </c>
      <c r="O27" s="23">
        <f>'Sch OL-TOU Cust Fcst'!$E26*'Non-Residential TSM UC Adj'!O27</f>
        <v>0</v>
      </c>
      <c r="P27" s="23">
        <f>'Sch OL-TOU Cust Fcst'!$E26*'Non-Residential TSM UC Adj'!P27</f>
        <v>0</v>
      </c>
      <c r="Q27" s="41">
        <f>IF(SUM(N27:P27)=0,0,SUM(N27:P27)/'Sch AL-TOU Cust Fcst'!E26)</f>
        <v>0</v>
      </c>
      <c r="R27" s="23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AL-TOU Cust Fcst'!F26)</f>
        <v>0</v>
      </c>
    </row>
    <row r="28" spans="1:21" ht="13">
      <c r="A28" s="126" t="s">
        <v>20</v>
      </c>
      <c r="B28" s="109">
        <f>'Sch OL-TOU Cust Fcst'!$B27*'Non-Residential TSM UC Adj'!J28</f>
        <v>0</v>
      </c>
      <c r="C28" s="23">
        <f>'Sch OL-TOU Cust Fcst'!$B27*'Non-Residential TSM UC Adj'!K28</f>
        <v>0</v>
      </c>
      <c r="D28" s="23">
        <f>'Sch OL-TOU Cust Fcst'!$B27*'Non-Residential TSM UC Adj'!L28</f>
        <v>0</v>
      </c>
      <c r="E28" s="41">
        <f>IF(SUM(B28:D28)=0,0,SUM(B28:D28)/'Sch AL-TOU Cust Fcst'!B27)</f>
        <v>0</v>
      </c>
      <c r="F28" s="109">
        <f>'Sch OL-TOU Cust Fcst'!$C27*'Non-Residential TSM UC Adj'!J28</f>
        <v>0</v>
      </c>
      <c r="G28" s="23">
        <f>'Sch OL-TOU Cust Fcst'!$C27*'Non-Residential TSM UC Adj'!K28</f>
        <v>0</v>
      </c>
      <c r="H28" s="23">
        <f>'Sch OL-TOU Cust Fcst'!$C27*'Non-Residential TSM UC Adj'!L28</f>
        <v>0</v>
      </c>
      <c r="I28" s="41">
        <f>IF(SUM(F28:H28)=0,0,SUM(F28:H28)/'Sch AL-TOU Cust Fcst'!C27)</f>
        <v>0</v>
      </c>
      <c r="J28" s="109">
        <f>'Sch OL-TOU Cust Fcst'!$D27*'Non-Residential TSM UC Adj'!J28</f>
        <v>0</v>
      </c>
      <c r="K28" s="23">
        <f>'Sch OL-TOU Cust Fcst'!$D27*'Non-Residential TSM UC Adj'!K28</f>
        <v>0</v>
      </c>
      <c r="L28" s="23">
        <f>'Sch OL-TOU Cust Fcst'!$D27*'Non-Residential TSM UC Adj'!L28</f>
        <v>0</v>
      </c>
      <c r="M28" s="41">
        <f>IF(SUM(J28:L28)=0,0,SUM(J28:L28)/'Sch AL-TOU Cust Fcst'!D27)</f>
        <v>0</v>
      </c>
      <c r="N28" s="109">
        <f>'Sch OL-TOU Cust Fcst'!$E27*'Non-Residential TSM UC Adj'!N28</f>
        <v>0</v>
      </c>
      <c r="O28" s="23">
        <f>'Sch OL-TOU Cust Fcst'!$E27*'Non-Residential TSM UC Adj'!O28</f>
        <v>0</v>
      </c>
      <c r="P28" s="23">
        <f>'Sch OL-TOU Cust Fcst'!$E27*'Non-Residential TSM UC Adj'!P28</f>
        <v>0</v>
      </c>
      <c r="Q28" s="41">
        <f>IF(SUM(N28:P28)=0,0,SUM(N28:P28)/'Sch AL-TOU Cust Fcst'!E27)</f>
        <v>0</v>
      </c>
      <c r="R28" s="23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AL-TOU Cust Fcst'!F27)</f>
        <v>0</v>
      </c>
    </row>
    <row r="29" spans="1:21" ht="13">
      <c r="A29" s="126" t="s">
        <v>21</v>
      </c>
      <c r="B29" s="109">
        <f>'Sch OL-TOU Cust Fcst'!$B28*'Non-Residential TSM UC Adj'!J29</f>
        <v>0</v>
      </c>
      <c r="C29" s="23">
        <f>'Sch OL-TOU Cust Fcst'!$B28*'Non-Residential TSM UC Adj'!K29</f>
        <v>0</v>
      </c>
      <c r="D29" s="23">
        <f>'Sch OL-TOU Cust Fcst'!$B28*'Non-Residential TSM UC Adj'!L29</f>
        <v>0</v>
      </c>
      <c r="E29" s="41">
        <f>IF(SUM(B29:D29)=0,0,SUM(B29:D29)/'Sch AL-TOU Cust Fcst'!B28)</f>
        <v>0</v>
      </c>
      <c r="F29" s="109">
        <f>'Sch OL-TOU Cust Fcst'!$C28*'Non-Residential TSM UC Adj'!J29</f>
        <v>0</v>
      </c>
      <c r="G29" s="23">
        <f>'Sch OL-TOU Cust Fcst'!$C28*'Non-Residential TSM UC Adj'!K29</f>
        <v>0</v>
      </c>
      <c r="H29" s="23">
        <f>'Sch OL-TOU Cust Fcst'!$C28*'Non-Residential TSM UC Adj'!L29</f>
        <v>0</v>
      </c>
      <c r="I29" s="41">
        <f>IF(SUM(F29:H29)=0,0,SUM(F29:H29)/'Sch AL-TOU Cust Fcst'!C28)</f>
        <v>0</v>
      </c>
      <c r="J29" s="109">
        <f>'Sch OL-TOU Cust Fcst'!$D28*'Non-Residential TSM UC Adj'!J29</f>
        <v>0</v>
      </c>
      <c r="K29" s="23">
        <f>'Sch OL-TOU Cust Fcst'!$D28*'Non-Residential TSM UC Adj'!K29</f>
        <v>0</v>
      </c>
      <c r="L29" s="23">
        <f>'Sch OL-TOU Cust Fcst'!$D28*'Non-Residential TSM UC Adj'!L29</f>
        <v>0</v>
      </c>
      <c r="M29" s="41">
        <f>IF(SUM(J29:L29)=0,0,SUM(J29:L29)/'Sch AL-TOU Cust Fcst'!D28)</f>
        <v>0</v>
      </c>
      <c r="N29" s="109">
        <f>'Sch OL-TOU Cust Fcst'!$E28*'Non-Residential TSM UC Adj'!N29</f>
        <v>0</v>
      </c>
      <c r="O29" s="23">
        <f>'Sch OL-TOU Cust Fcst'!$E28*'Non-Residential TSM UC Adj'!O29</f>
        <v>0</v>
      </c>
      <c r="P29" s="23">
        <f>'Sch OL-TOU Cust Fcst'!$E28*'Non-Residential TSM UC Adj'!P29</f>
        <v>0</v>
      </c>
      <c r="Q29" s="41">
        <f>IF(SUM(N29:P29)=0,0,SUM(N29:P29)/'Sch AL-TOU Cust Fcst'!E28)</f>
        <v>0</v>
      </c>
      <c r="R29" s="23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AL-TOU Cust Fcst'!F28)</f>
        <v>0</v>
      </c>
    </row>
    <row r="30" spans="1:21" ht="13">
      <c r="A30" s="126" t="s">
        <v>22</v>
      </c>
      <c r="B30" s="109">
        <f>'Sch OL-TOU Cust Fcst'!$B29*'Non-Residential TSM UC Adj'!J30</f>
        <v>0</v>
      </c>
      <c r="C30" s="23">
        <f>'Sch OL-TOU Cust Fcst'!$B29*'Non-Residential TSM UC Adj'!K30</f>
        <v>0</v>
      </c>
      <c r="D30" s="23">
        <f>'Sch OL-TOU Cust Fcst'!$B29*'Non-Residential TSM UC Adj'!L30</f>
        <v>0</v>
      </c>
      <c r="E30" s="41">
        <f>IF(SUM(B30:D30)=0,0,SUM(B30:D30)/'Sch AL-TOU Cust Fcst'!B29)</f>
        <v>0</v>
      </c>
      <c r="F30" s="109">
        <f>'Sch OL-TOU Cust Fcst'!$C29*'Non-Residential TSM UC Adj'!J30</f>
        <v>0</v>
      </c>
      <c r="G30" s="23">
        <f>'Sch OL-TOU Cust Fcst'!$C29*'Non-Residential TSM UC Adj'!K30</f>
        <v>0</v>
      </c>
      <c r="H30" s="23">
        <f>'Sch OL-TOU Cust Fcst'!$C29*'Non-Residential TSM UC Adj'!L30</f>
        <v>0</v>
      </c>
      <c r="I30" s="41">
        <f>IF(SUM(F30:H30)=0,0,SUM(F30:H30)/'Sch AL-TOU Cust Fcst'!C29)</f>
        <v>0</v>
      </c>
      <c r="J30" s="109">
        <f>'Sch OL-TOU Cust Fcst'!$D29*'Non-Residential TSM UC Adj'!J30</f>
        <v>0</v>
      </c>
      <c r="K30" s="23">
        <f>'Sch OL-TOU Cust Fcst'!$D29*'Non-Residential TSM UC Adj'!K30</f>
        <v>0</v>
      </c>
      <c r="L30" s="23">
        <f>'Sch OL-TOU Cust Fcst'!$D29*'Non-Residential TSM UC Adj'!L30</f>
        <v>0</v>
      </c>
      <c r="M30" s="41">
        <f>IF(SUM(J30:L30)=0,0,SUM(J30:L30)/'Sch AL-TOU Cust Fcst'!D29)</f>
        <v>0</v>
      </c>
      <c r="N30" s="109">
        <f>'Sch OL-TOU Cust Fcst'!$E29*'Non-Residential TSM UC Adj'!N30</f>
        <v>0</v>
      </c>
      <c r="O30" s="23">
        <f>'Sch OL-TOU Cust Fcst'!$E29*'Non-Residential TSM UC Adj'!O30</f>
        <v>0</v>
      </c>
      <c r="P30" s="23">
        <f>'Sch OL-TOU Cust Fcst'!$E29*'Non-Residential TSM UC Adj'!P30</f>
        <v>0</v>
      </c>
      <c r="Q30" s="41">
        <f>IF(SUM(N30:P30)=0,0,SUM(N30:P30)/'Sch AL-TOU Cust Fcst'!E29)</f>
        <v>0</v>
      </c>
      <c r="R30" s="23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AL-TOU Cust Fcst'!F29)</f>
        <v>0</v>
      </c>
    </row>
    <row r="31" spans="1:21" ht="13">
      <c r="A31" s="124" t="s">
        <v>23</v>
      </c>
      <c r="B31" s="109">
        <f>'Sch OL-TOU Cust Fcst'!$B30*'Non-Residential TSM UC Adj'!J31</f>
        <v>0</v>
      </c>
      <c r="C31" s="23">
        <f>'Sch OL-TOU Cust Fcst'!$B30*'Non-Residential TSM UC Adj'!K31</f>
        <v>0</v>
      </c>
      <c r="D31" s="23">
        <f>'Sch OL-TOU Cust Fcst'!$B30*'Non-Residential TSM UC Adj'!L31</f>
        <v>0</v>
      </c>
      <c r="E31" s="41">
        <f>IF(SUM(B31:D31)=0,0,SUM(B31:D31)/'Sch AL-TOU Cust Fcst'!B30)</f>
        <v>0</v>
      </c>
      <c r="F31" s="109">
        <f>'Sch OL-TOU Cust Fcst'!$C30*'Non-Residential TSM UC Adj'!J31</f>
        <v>0</v>
      </c>
      <c r="G31" s="23">
        <f>'Sch OL-TOU Cust Fcst'!$C30*'Non-Residential TSM UC Adj'!K31</f>
        <v>0</v>
      </c>
      <c r="H31" s="23">
        <f>'Sch OL-TOU Cust Fcst'!$C30*'Non-Residential TSM UC Adj'!L31</f>
        <v>0</v>
      </c>
      <c r="I31" s="41">
        <f>IF(SUM(F31:H31)=0,0,SUM(F31:H31)/'Sch AL-TOU Cust Fcst'!C30)</f>
        <v>0</v>
      </c>
      <c r="J31" s="109">
        <f>'Sch OL-TOU Cust Fcst'!$D30*'Non-Residential TSM UC Adj'!J31</f>
        <v>0</v>
      </c>
      <c r="K31" s="23">
        <f>'Sch OL-TOU Cust Fcst'!$D30*'Non-Residential TSM UC Adj'!K31</f>
        <v>0</v>
      </c>
      <c r="L31" s="23">
        <f>'Sch OL-TOU Cust Fcst'!$D30*'Non-Residential TSM UC Adj'!L31</f>
        <v>0</v>
      </c>
      <c r="M31" s="41">
        <f>IF(SUM(J31:L31)=0,0,SUM(J31:L31)/'Sch AL-TOU Cust Fcst'!D30)</f>
        <v>0</v>
      </c>
      <c r="N31" s="109">
        <f>'Sch OL-TOU Cust Fcst'!$E30*'Non-Residential TSM UC Adj'!N31</f>
        <v>0</v>
      </c>
      <c r="O31" s="23">
        <f>'Sch OL-TOU Cust Fcst'!$E30*'Non-Residential TSM UC Adj'!O31</f>
        <v>0</v>
      </c>
      <c r="P31" s="23">
        <f>'Sch OL-TOU Cust Fcst'!$E30*'Non-Residential TSM UC Adj'!P31</f>
        <v>0</v>
      </c>
      <c r="Q31" s="41">
        <f>IF(SUM(N31:P31)=0,0,SUM(N31:P31)/'Sch AL-TOU Cust Fcst'!E30)</f>
        <v>0</v>
      </c>
      <c r="R31" s="23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AL-TOU Cust Fcst'!F30)</f>
        <v>0</v>
      </c>
    </row>
    <row r="32" spans="1:21" ht="13">
      <c r="A32" s="124" t="s">
        <v>24</v>
      </c>
      <c r="B32" s="109">
        <f>'Sch OL-TOU Cust Fcst'!$B31*'Non-Residential TSM UC Adj'!J32</f>
        <v>0</v>
      </c>
      <c r="C32" s="23">
        <f>'Sch OL-TOU Cust Fcst'!$B31*'Non-Residential TSM UC Adj'!K32</f>
        <v>0</v>
      </c>
      <c r="D32" s="23">
        <f>'Sch OL-TOU Cust Fcst'!$B31*'Non-Residential TSM UC Adj'!L32</f>
        <v>0</v>
      </c>
      <c r="E32" s="41">
        <f>IF(SUM(B32:D32)=0,0,SUM(B32:D32)/'Sch AL-TOU Cust Fcst'!B31)</f>
        <v>0</v>
      </c>
      <c r="F32" s="109">
        <f>'Sch OL-TOU Cust Fcst'!$C31*'Non-Residential TSM UC Adj'!J32</f>
        <v>0</v>
      </c>
      <c r="G32" s="23">
        <f>'Sch OL-TOU Cust Fcst'!$C31*'Non-Residential TSM UC Adj'!K32</f>
        <v>0</v>
      </c>
      <c r="H32" s="23">
        <f>'Sch OL-TOU Cust Fcst'!$C31*'Non-Residential TSM UC Adj'!L32</f>
        <v>0</v>
      </c>
      <c r="I32" s="41">
        <f>IF(SUM(F32:H32)=0,0,SUM(F32:H32)/'Sch AL-TOU Cust Fcst'!C31)</f>
        <v>0</v>
      </c>
      <c r="J32" s="109">
        <f>'Sch OL-TOU Cust Fcst'!$D31*'Non-Residential TSM UC Adj'!J32</f>
        <v>0</v>
      </c>
      <c r="K32" s="23">
        <f>'Sch OL-TOU Cust Fcst'!$D31*'Non-Residential TSM UC Adj'!K32</f>
        <v>0</v>
      </c>
      <c r="L32" s="23">
        <f>'Sch OL-TOU Cust Fcst'!$D31*'Non-Residential TSM UC Adj'!L32</f>
        <v>0</v>
      </c>
      <c r="M32" s="41">
        <f>IF(SUM(J32:L32)=0,0,SUM(J32:L32)/'Sch AL-TOU Cust Fcst'!D31)</f>
        <v>0</v>
      </c>
      <c r="N32" s="109">
        <f>'Sch OL-TOU Cust Fcst'!$E31*'Non-Residential TSM UC Adj'!N32</f>
        <v>0</v>
      </c>
      <c r="O32" s="23">
        <f>'Sch OL-TOU Cust Fcst'!$E31*'Non-Residential TSM UC Adj'!O32</f>
        <v>0</v>
      </c>
      <c r="P32" s="23">
        <f>'Sch OL-TOU Cust Fcst'!$E31*'Non-Residential TSM UC Adj'!P32</f>
        <v>0</v>
      </c>
      <c r="Q32" s="41">
        <f>IF(SUM(N32:P32)=0,0,SUM(N32:P32)/'Sch AL-TOU Cust Fcst'!E31)</f>
        <v>0</v>
      </c>
      <c r="R32" s="23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AL-TOU Cust Fcst'!F31)</f>
        <v>0</v>
      </c>
    </row>
    <row r="33" spans="1:21" ht="13">
      <c r="A33" s="124" t="s">
        <v>25</v>
      </c>
      <c r="B33" s="109">
        <f>'Sch OL-TOU Cust Fcst'!$B32*'Non-Residential TSM UC Adj'!J33</f>
        <v>0</v>
      </c>
      <c r="C33" s="23">
        <f>'Sch OL-TOU Cust Fcst'!$B32*'Non-Residential TSM UC Adj'!K33</f>
        <v>0</v>
      </c>
      <c r="D33" s="23">
        <f>'Sch OL-TOU Cust Fcst'!$B32*'Non-Residential TSM UC Adj'!L33</f>
        <v>0</v>
      </c>
      <c r="E33" s="41">
        <f>IF(SUM(B33:D33)=0,0,SUM(B33:D33)/'Sch AL-TOU Cust Fcst'!B32)</f>
        <v>0</v>
      </c>
      <c r="F33" s="109">
        <f>'Sch OL-TOU Cust Fcst'!$C32*'Non-Residential TSM UC Adj'!J33</f>
        <v>0</v>
      </c>
      <c r="G33" s="23">
        <f>'Sch OL-TOU Cust Fcst'!$C32*'Non-Residential TSM UC Adj'!K33</f>
        <v>0</v>
      </c>
      <c r="H33" s="23">
        <f>'Sch OL-TOU Cust Fcst'!$C32*'Non-Residential TSM UC Adj'!L33</f>
        <v>0</v>
      </c>
      <c r="I33" s="41">
        <f>IF(SUM(F33:H33)=0,0,SUM(F33:H33)/'Sch AL-TOU Cust Fcst'!C32)</f>
        <v>0</v>
      </c>
      <c r="J33" s="109">
        <f>'Sch OL-TOU Cust Fcst'!$D32*'Non-Residential TSM UC Adj'!J33</f>
        <v>0</v>
      </c>
      <c r="K33" s="23">
        <f>'Sch OL-TOU Cust Fcst'!$D32*'Non-Residential TSM UC Adj'!K33</f>
        <v>0</v>
      </c>
      <c r="L33" s="23">
        <f>'Sch OL-TOU Cust Fcst'!$D32*'Non-Residential TSM UC Adj'!L33</f>
        <v>0</v>
      </c>
      <c r="M33" s="41">
        <f>IF(SUM(J33:L33)=0,0,SUM(J33:L33)/'Sch AL-TOU Cust Fcst'!D32)</f>
        <v>0</v>
      </c>
      <c r="N33" s="109">
        <f>'Sch OL-TOU Cust Fcst'!$E32*'Non-Residential TSM UC Adj'!N33</f>
        <v>0</v>
      </c>
      <c r="O33" s="23">
        <f>'Sch OL-TOU Cust Fcst'!$E32*'Non-Residential TSM UC Adj'!O33</f>
        <v>0</v>
      </c>
      <c r="P33" s="23">
        <f>'Sch OL-TOU Cust Fcst'!$E32*'Non-Residential TSM UC Adj'!P33</f>
        <v>0</v>
      </c>
      <c r="Q33" s="41">
        <f>IF(SUM(N33:P33)=0,0,SUM(N33:P33)/'Sch AL-TOU Cust Fcst'!E32)</f>
        <v>0</v>
      </c>
      <c r="R33" s="23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AL-TOU Cust Fcst'!F32)</f>
        <v>0</v>
      </c>
    </row>
    <row r="34" spans="1:21" ht="13">
      <c r="A34" s="124" t="s">
        <v>106</v>
      </c>
      <c r="B34" s="109">
        <f>'Sch OL-TOU Cust Fcst'!$B33*'Non-Residential TSM UC Adj'!J34</f>
        <v>0</v>
      </c>
      <c r="C34" s="23">
        <f>'Sch OL-TOU Cust Fcst'!$B33*'Non-Residential TSM UC Adj'!K34</f>
        <v>0</v>
      </c>
      <c r="D34" s="23">
        <f>'Sch OL-TOU Cust Fcst'!$B33*'Non-Residential TSM UC Adj'!L34</f>
        <v>0</v>
      </c>
      <c r="E34" s="41">
        <f>IF(SUM(B34:D34)=0,0,SUM(B34:D34)/'Sch AL-TOU Cust Fcst'!B33)</f>
        <v>0</v>
      </c>
      <c r="F34" s="109">
        <f>'Sch OL-TOU Cust Fcst'!$C33*'Non-Residential TSM UC Adj'!J34</f>
        <v>0</v>
      </c>
      <c r="G34" s="23">
        <f>'Sch OL-TOU Cust Fcst'!$C33*'Non-Residential TSM UC Adj'!K34</f>
        <v>0</v>
      </c>
      <c r="H34" s="23">
        <f>'Sch OL-TOU Cust Fcst'!$C33*'Non-Residential TSM UC Adj'!L34</f>
        <v>0</v>
      </c>
      <c r="I34" s="41">
        <f>IF(SUM(F34:H34)=0,0,SUM(F34:H34)/'Sch AL-TOU Cust Fcst'!C33)</f>
        <v>0</v>
      </c>
      <c r="J34" s="109">
        <f>'Sch OL-TOU Cust Fcst'!$D33*'Non-Residential TSM UC Adj'!J34</f>
        <v>0</v>
      </c>
      <c r="K34" s="23">
        <f>'Sch OL-TOU Cust Fcst'!$D33*'Non-Residential TSM UC Adj'!K34</f>
        <v>0</v>
      </c>
      <c r="L34" s="23">
        <f>'Sch OL-TOU Cust Fcst'!$D33*'Non-Residential TSM UC Adj'!L34</f>
        <v>0</v>
      </c>
      <c r="M34" s="41">
        <f>IF(SUM(J34:L34)=0,0,SUM(J34:L34)/'Sch AL-TOU Cust Fcst'!D33)</f>
        <v>0</v>
      </c>
      <c r="N34" s="109">
        <f>'Sch OL-TOU Cust Fcst'!$E33*'Non-Residential TSM UC Adj'!N34</f>
        <v>0</v>
      </c>
      <c r="O34" s="23">
        <f>'Sch OL-TOU Cust Fcst'!$E33*'Non-Residential TSM UC Adj'!O34</f>
        <v>0</v>
      </c>
      <c r="P34" s="23">
        <f>'Sch OL-TOU Cust Fcst'!$E33*'Non-Residential TSM UC Adj'!P34</f>
        <v>0</v>
      </c>
      <c r="Q34" s="41">
        <f>IF(SUM(N34:P34)=0,0,SUM(N34:P34)/'Sch AL-TOU Cust Fcst'!E33)</f>
        <v>0</v>
      </c>
      <c r="R34" s="23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AL-TOU Cust Fcst'!F33)</f>
        <v>0</v>
      </c>
    </row>
    <row r="35" spans="1:21" ht="13">
      <c r="A35" s="124" t="s">
        <v>107</v>
      </c>
      <c r="B35" s="109">
        <f>'Sch OL-TOU Cust Fcst'!$B34*'Non-Residential TSM UC Adj'!J35</f>
        <v>0</v>
      </c>
      <c r="C35" s="23">
        <f>'Sch OL-TOU Cust Fcst'!$B34*'Non-Residential TSM UC Adj'!K35</f>
        <v>0</v>
      </c>
      <c r="D35" s="23">
        <f>'Sch OL-TOU Cust Fcst'!$B34*'Non-Residential TSM UC Adj'!L35</f>
        <v>0</v>
      </c>
      <c r="E35" s="41">
        <f>IF(SUM(B35:D35)=0,0,SUM(B35:D35)/'Sch AL-TOU Cust Fcst'!B34)</f>
        <v>0</v>
      </c>
      <c r="F35" s="109">
        <f>'Sch OL-TOU Cust Fcst'!$C34*'Non-Residential TSM UC Adj'!J35</f>
        <v>0</v>
      </c>
      <c r="G35" s="23">
        <f>'Sch OL-TOU Cust Fcst'!$C34*'Non-Residential TSM UC Adj'!K35</f>
        <v>0</v>
      </c>
      <c r="H35" s="23">
        <f>'Sch OL-TOU Cust Fcst'!$C34*'Non-Residential TSM UC Adj'!L35</f>
        <v>0</v>
      </c>
      <c r="I35" s="41">
        <f>IF(SUM(F35:H35)=0,0,SUM(F35:H35)/'Sch AL-TOU Cust Fcst'!C34)</f>
        <v>0</v>
      </c>
      <c r="J35" s="109">
        <f>'Sch OL-TOU Cust Fcst'!$D34*'Non-Residential TSM UC Adj'!J35</f>
        <v>0</v>
      </c>
      <c r="K35" s="23">
        <f>'Sch OL-TOU Cust Fcst'!$D34*'Non-Residential TSM UC Adj'!K35</f>
        <v>0</v>
      </c>
      <c r="L35" s="23">
        <f>'Sch OL-TOU Cust Fcst'!$D34*'Non-Residential TSM UC Adj'!L35</f>
        <v>0</v>
      </c>
      <c r="M35" s="41">
        <f>IF(SUM(J35:L35)=0,0,SUM(J35:L35)/'Sch AL-TOU Cust Fcst'!D34)</f>
        <v>0</v>
      </c>
      <c r="N35" s="109">
        <f>'Sch OL-TOU Cust Fcst'!$E34*'Non-Residential TSM UC Adj'!N35</f>
        <v>0</v>
      </c>
      <c r="O35" s="23">
        <f>'Sch OL-TOU Cust Fcst'!$E34*'Non-Residential TSM UC Adj'!O35</f>
        <v>0</v>
      </c>
      <c r="P35" s="23">
        <f>'Sch OL-TOU Cust Fcst'!$E34*'Non-Residential TSM UC Adj'!P35</f>
        <v>0</v>
      </c>
      <c r="Q35" s="41">
        <f>IF(SUM(N35:P35)=0,0,SUM(N35:P35)/'Sch AL-TOU Cust Fcst'!E34)</f>
        <v>0</v>
      </c>
      <c r="R35" s="23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AL-TOU Cust Fcst'!F34)</f>
        <v>0</v>
      </c>
    </row>
    <row r="36" spans="1:21" ht="13">
      <c r="A36" s="126" t="s">
        <v>26</v>
      </c>
      <c r="B36" s="109">
        <f>'Sch OL-TOU Cust Fcst'!$B35*'Non-Residential TSM UC Adj'!J36</f>
        <v>0</v>
      </c>
      <c r="C36" s="23">
        <f>'Sch OL-TOU Cust Fcst'!$B35*'Non-Residential TSM UC Adj'!K36</f>
        <v>0</v>
      </c>
      <c r="D36" s="23">
        <f>'Sch OL-TOU Cust Fcst'!$B35*'Non-Residential TSM UC Adj'!L36</f>
        <v>0</v>
      </c>
      <c r="E36" s="41">
        <f>IF(SUM(B36:D36)=0,0,SUM(B36:D36)/'Sch AL-TOU Cust Fcst'!B35)</f>
        <v>0</v>
      </c>
      <c r="F36" s="109">
        <f>'Sch OL-TOU Cust Fcst'!$C35*'Non-Residential TSM UC Adj'!J36</f>
        <v>0</v>
      </c>
      <c r="G36" s="23">
        <f>'Sch OL-TOU Cust Fcst'!$C35*'Non-Residential TSM UC Adj'!K36</f>
        <v>0</v>
      </c>
      <c r="H36" s="23">
        <f>'Sch OL-TOU Cust Fcst'!$C35*'Non-Residential TSM UC Adj'!L36</f>
        <v>0</v>
      </c>
      <c r="I36" s="41">
        <f>IF(SUM(F36:H36)=0,0,SUM(F36:H36)/'Sch AL-TOU Cust Fcst'!C35)</f>
        <v>0</v>
      </c>
      <c r="J36" s="109">
        <f>'Sch OL-TOU Cust Fcst'!$D35*'Non-Residential TSM UC Adj'!J36</f>
        <v>0</v>
      </c>
      <c r="K36" s="23">
        <f>'Sch OL-TOU Cust Fcst'!$D35*'Non-Residential TSM UC Adj'!K36</f>
        <v>0</v>
      </c>
      <c r="L36" s="23">
        <f>'Sch OL-TOU Cust Fcst'!$D35*'Non-Residential TSM UC Adj'!L36</f>
        <v>0</v>
      </c>
      <c r="M36" s="41">
        <f>IF(SUM(J36:L36)=0,0,SUM(J36:L36)/'Sch AL-TOU Cust Fcst'!D35)</f>
        <v>0</v>
      </c>
      <c r="N36" s="109">
        <f>'Sch OL-TOU Cust Fcst'!$E35*'Non-Residential TSM UC Adj'!N36</f>
        <v>0</v>
      </c>
      <c r="O36" s="23">
        <f>'Sch OL-TOU Cust Fcst'!$E35*'Non-Residential TSM UC Adj'!O36</f>
        <v>0</v>
      </c>
      <c r="P36" s="23">
        <f>'Sch OL-TOU Cust Fcst'!$E35*'Non-Residential TSM UC Adj'!P36</f>
        <v>0</v>
      </c>
      <c r="Q36" s="41">
        <f>IF(SUM(N36:P36)=0,0,SUM(N36:P36)/'Sch AL-TOU Cust Fcst'!E35)</f>
        <v>0</v>
      </c>
      <c r="R36" s="23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AL-TOU Cust Fcst'!F35)</f>
        <v>0</v>
      </c>
    </row>
    <row r="37" spans="1:21" ht="13">
      <c r="A37" s="126" t="s">
        <v>27</v>
      </c>
      <c r="B37" s="109">
        <f>'Sch OL-TOU Cust Fcst'!$B36*'Non-Residential TSM UC Adj'!J37</f>
        <v>0</v>
      </c>
      <c r="C37" s="23">
        <f>'Sch OL-TOU Cust Fcst'!$B36*'Non-Residential TSM UC Adj'!K37</f>
        <v>0</v>
      </c>
      <c r="D37" s="23">
        <f>'Sch OL-TOU Cust Fcst'!$B36*'Non-Residential TSM UC Adj'!L37</f>
        <v>0</v>
      </c>
      <c r="E37" s="41">
        <f>IF(SUM(B37:D37)=0,0,SUM(B37:D37)/'Sch AL-TOU Cust Fcst'!B36)</f>
        <v>0</v>
      </c>
      <c r="F37" s="109">
        <f>'Sch OL-TOU Cust Fcst'!$C36*'Non-Residential TSM UC Adj'!J37</f>
        <v>0</v>
      </c>
      <c r="G37" s="23">
        <f>'Sch OL-TOU Cust Fcst'!$C36*'Non-Residential TSM UC Adj'!K37</f>
        <v>0</v>
      </c>
      <c r="H37" s="23">
        <f>'Sch OL-TOU Cust Fcst'!$C36*'Non-Residential TSM UC Adj'!L37</f>
        <v>0</v>
      </c>
      <c r="I37" s="41">
        <f>IF(SUM(F37:H37)=0,0,SUM(F37:H37)/'Sch AL-TOU Cust Fcst'!C36)</f>
        <v>0</v>
      </c>
      <c r="J37" s="109">
        <f>'Sch OL-TOU Cust Fcst'!$D36*'Non-Residential TSM UC Adj'!J37</f>
        <v>0</v>
      </c>
      <c r="K37" s="23">
        <f>'Sch OL-TOU Cust Fcst'!$D36*'Non-Residential TSM UC Adj'!K37</f>
        <v>0</v>
      </c>
      <c r="L37" s="23">
        <f>'Sch OL-TOU Cust Fcst'!$D36*'Non-Residential TSM UC Adj'!L37</f>
        <v>0</v>
      </c>
      <c r="M37" s="41">
        <f>IF(SUM(J37:L37)=0,0,SUM(J37:L37)/'Sch AL-TOU Cust Fcst'!D36)</f>
        <v>0</v>
      </c>
      <c r="N37" s="109">
        <f>'Sch OL-TOU Cust Fcst'!$E36*'Non-Residential TSM UC Adj'!N37</f>
        <v>0</v>
      </c>
      <c r="O37" s="23">
        <f>'Sch OL-TOU Cust Fcst'!$E36*'Non-Residential TSM UC Adj'!O37</f>
        <v>0</v>
      </c>
      <c r="P37" s="23">
        <f>'Sch OL-TOU Cust Fcst'!$E36*'Non-Residential TSM UC Adj'!P37</f>
        <v>0</v>
      </c>
      <c r="Q37" s="41">
        <f>IF(SUM(N37:P37)=0,0,SUM(N37:P37)/'Sch AL-TOU Cust Fcst'!E36)</f>
        <v>0</v>
      </c>
      <c r="R37" s="23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AL-TOU Cust Fcst'!F36)</f>
        <v>0</v>
      </c>
    </row>
    <row r="38" spans="1:21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23"/>
      <c r="S38" s="23"/>
      <c r="T38" s="23"/>
      <c r="U38" s="14"/>
    </row>
    <row r="39" spans="1:21" ht="13.5" thickBot="1">
      <c r="A39" s="178" t="s">
        <v>2</v>
      </c>
      <c r="B39" s="238">
        <f>IF(SUM(B$7:B$37)=0,0,SUM(B$7:B$37)/'Sch OL-TOU Cust Fcst'!$B38)</f>
        <v>0</v>
      </c>
      <c r="C39" s="239">
        <f>IF(SUM(C$7:C$37)=0,0,SUM(C$7:C$37)/'Sch OL-TOU Cust Fcst'!$B38)</f>
        <v>0</v>
      </c>
      <c r="D39" s="239">
        <f>IF(SUM(D$7:D$37)=0,0,SUM(D$7:D$37)/'Sch OL-TOU Cust Fcst'!$B38)</f>
        <v>0</v>
      </c>
      <c r="E39" s="240">
        <f>SUM(B39:D39)</f>
        <v>0</v>
      </c>
      <c r="F39" s="238">
        <f>IF(SUM(F$7:F$37)=0,0,SUM(F$7:F$37)/'Sch OL-TOU Cust Fcst'!$C38)</f>
        <v>0</v>
      </c>
      <c r="G39" s="239">
        <f>IF(SUM(G$7:G$37)=0,0,SUM(G$7:G$37)/'Sch OL-TOU Cust Fcst'!$C38)</f>
        <v>0</v>
      </c>
      <c r="H39" s="239">
        <f>IF(SUM(H$7:H$37)=0,0,SUM(H$7:H$37)/'Sch OL-TOU Cust Fcst'!$C38)</f>
        <v>0</v>
      </c>
      <c r="I39" s="240">
        <f>SUM(F39:H39)</f>
        <v>0</v>
      </c>
      <c r="J39" s="238">
        <f>IF(SUM(J$7:J$37)=0,0,SUM(J$7:J$37)/'Sch OL-TOU Cust Fcst'!$D38)</f>
        <v>0</v>
      </c>
      <c r="K39" s="239">
        <f>IF(SUM(K$7:K$37)=0,0,SUM(K$7:K$37)/'Sch OL-TOU Cust Fcst'!$D38)</f>
        <v>0</v>
      </c>
      <c r="L39" s="239">
        <f>IF(SUM(L$7:L$37)=0,0,SUM(L$7:L$37)/'Sch OL-TOU Cust Fcst'!$D38)</f>
        <v>0</v>
      </c>
      <c r="M39" s="240">
        <f>SUM(J39:L39)</f>
        <v>0</v>
      </c>
      <c r="N39" s="238">
        <f>IF(SUM(N$7:N$37)=0,0,SUM(N$7:N$37)/'Sch OL-TOU Cust Fcst'!$E38)</f>
        <v>17510.38454743156</v>
      </c>
      <c r="O39" s="239">
        <f>IF(SUM(O$7:O$37)=0,0,SUM(O$7:O$37)/'Sch OL-TOU Cust Fcst'!$E38)</f>
        <v>1440.5499348403266</v>
      </c>
      <c r="P39" s="239">
        <f>IF(SUM(P$7:P$37)=0,0,SUM(P$7:P$37)/'Sch OL-TOU Cust Fcst'!$E38)</f>
        <v>865.67585029149416</v>
      </c>
      <c r="Q39" s="240">
        <f>SUM(N39:P39)</f>
        <v>19816.610332563381</v>
      </c>
      <c r="R39" s="238">
        <f>IF(SUM(R$7:R$37)=0,0,SUM(R$7:R$37)/'Sch OL-TOU Cust Fcst'!$F38)</f>
        <v>17510.38454743156</v>
      </c>
      <c r="S39" s="239">
        <f>IF(SUM(S$7:S$37)=0,0,SUM(S$7:S$37)/'Sch OL-TOU Cust Fcst'!$F38)</f>
        <v>1440.5499348403266</v>
      </c>
      <c r="T39" s="239">
        <f>IF(SUM(T$7:T$37)=0,0,SUM(T$7:T$37)/'Sch OL-TOU Cust Fcst'!$F38)</f>
        <v>865.67585029149416</v>
      </c>
      <c r="U39" s="240">
        <f>SUM(R39:T39)</f>
        <v>19816.610332563381</v>
      </c>
    </row>
    <row r="40" spans="1:21" ht="13">
      <c r="A40" s="124" t="s">
        <v>141</v>
      </c>
      <c r="B40" s="109">
        <f>IF(SUM(B$7:B$20)=0,0,SUM(B$7:B$20)/'Sch OL-TOU Cust Fcst'!$B39)</f>
        <v>0</v>
      </c>
      <c r="C40" s="23">
        <f>IF(SUM(C$7:C$20)=0,0,SUM(C$7:C$20)/'Sch OL-TOU Cust Fcst'!$B39)</f>
        <v>0</v>
      </c>
      <c r="D40" s="23">
        <f>IF(SUM(D$7:D$20)=0,0,SUM(D$7:D$20)/'Sch OL-TOU Cust Fcst'!$B39)</f>
        <v>0</v>
      </c>
      <c r="E40" s="41">
        <f>SUM(B40:D40)</f>
        <v>0</v>
      </c>
      <c r="F40" s="109">
        <f>IF(SUM(F$7:F$20)=0,0,SUM(F$7:F$20)/'Sch OL-TOU Cust Fcst'!$C39)</f>
        <v>0</v>
      </c>
      <c r="G40" s="23">
        <f>IF(SUM(G$7:G$20)=0,0,SUM(G$7:G$20)/'Sch OL-TOU Cust Fcst'!$C39)</f>
        <v>0</v>
      </c>
      <c r="H40" s="23">
        <f>IF(SUM(H$7:H$20)=0,0,SUM(H$7:H$20)/'Sch OL-TOU Cust Fcst'!$C39)</f>
        <v>0</v>
      </c>
      <c r="I40" s="41">
        <f>SUM(F40:H40)</f>
        <v>0</v>
      </c>
      <c r="J40" s="109">
        <f>IF(SUM(J$7:J$20)=0,0,SUM(J$7:J$20)/'Sch OL-TOU Cust Fcst'!$D39)</f>
        <v>0</v>
      </c>
      <c r="K40" s="23">
        <f>IF(SUM(K$7:K$20)=0,0,SUM(K$7:K$20)/'Sch OL-TOU Cust Fcst'!$D39)</f>
        <v>0</v>
      </c>
      <c r="L40" s="23">
        <f>IF(SUM(L$7:L$20)=0,0,SUM(L$7:L$20)/'Sch OL-TOU Cust Fcst'!$D39)</f>
        <v>0</v>
      </c>
      <c r="M40" s="41">
        <f>SUM(J40:L40)</f>
        <v>0</v>
      </c>
      <c r="N40" s="109">
        <f>IF(SUM(N$7:N$20)=0,0,SUM(N$7:N$20)/'Sch OL-TOU Cust Fcst'!$E39)</f>
        <v>17510.38454743156</v>
      </c>
      <c r="O40" s="23">
        <f>IF(SUM(O$7:O$20)=0,0,SUM(O$7:O$20)/'Sch OL-TOU Cust Fcst'!$E39)</f>
        <v>1440.5499348403266</v>
      </c>
      <c r="P40" s="23">
        <f>IF(SUM(P$7:P$20)=0,0,SUM(P$7:P$20)/'Sch OL-TOU Cust Fcst'!$E39)</f>
        <v>865.67585029149416</v>
      </c>
      <c r="Q40" s="41">
        <f>SUM(N40:P40)</f>
        <v>19816.610332563381</v>
      </c>
      <c r="R40" s="109">
        <f>IF(SUM(R$7:R$20)=0,0,SUM(R$7:R$20)/'Sch OL-TOU Cust Fcst'!$F39)</f>
        <v>17510.38454743156</v>
      </c>
      <c r="S40" s="23">
        <f>IF(SUM(S$7:S$20)=0,0,SUM(S$7:S$20)/'Sch OL-TOU Cust Fcst'!$F39)</f>
        <v>1440.5499348403266</v>
      </c>
      <c r="T40" s="23">
        <f>IF(SUM(T$7:T$20)=0,0,SUM(T$7:T$20)/'Sch OL-TOU Cust Fcst'!$F39)</f>
        <v>865.67585029149416</v>
      </c>
      <c r="U40" s="41">
        <f>SUM(R40:T40)</f>
        <v>19816.610332563381</v>
      </c>
    </row>
    <row r="41" spans="1:21" ht="13">
      <c r="A41" s="124" t="s">
        <v>119</v>
      </c>
      <c r="B41" s="109">
        <f>IF(SUM(B$21:B$34)=0,0,SUM(B$21:B$33)/'Sch OL-TOU Cust Fcst'!$B40)</f>
        <v>0</v>
      </c>
      <c r="C41" s="23">
        <f>IF(SUM(C$21:C$34)=0,0,SUM(C$21:C$33)/'Sch OL-TOU Cust Fcst'!$B40)</f>
        <v>0</v>
      </c>
      <c r="D41" s="23">
        <f>IF(SUM(D$21:D$34)=0,0,SUM(D$21:D$33)/'Sch OL-TOU Cust Fcst'!$B40)</f>
        <v>0</v>
      </c>
      <c r="E41" s="41">
        <f>SUM(B41:D41)</f>
        <v>0</v>
      </c>
      <c r="F41" s="109">
        <f>IF(SUM(F$21:F$34)=0,0,SUM(F$21:F$33)/'Sch OL-TOU Cust Fcst'!$C40)</f>
        <v>0</v>
      </c>
      <c r="G41" s="23">
        <f>IF(SUM(G$21:G$34)=0,0,SUM(G$21:G$33)/'Sch OL-TOU Cust Fcst'!$C40)</f>
        <v>0</v>
      </c>
      <c r="H41" s="23">
        <f>IF(SUM(H$21:H$34)=0,0,SUM(H$21:H$33)/'Sch OL-TOU Cust Fcst'!$C40)</f>
        <v>0</v>
      </c>
      <c r="I41" s="41">
        <f>SUM(F41:H41)</f>
        <v>0</v>
      </c>
      <c r="J41" s="109">
        <f>IF(SUM(J$21:J$34)=0,0,SUM(J$21:J$33)/'Sch OL-TOU Cust Fcst'!$D40)</f>
        <v>0</v>
      </c>
      <c r="K41" s="23">
        <f>IF(SUM(K$21:K$34)=0,0,SUM(K$21:K$33)/'Sch OL-TOU Cust Fcst'!$D40)</f>
        <v>0</v>
      </c>
      <c r="L41" s="23">
        <f>IF(SUM(L$21:L$34)=0,0,SUM(L$21:L$33)/'Sch OL-TOU Cust Fcst'!$D40)</f>
        <v>0</v>
      </c>
      <c r="M41" s="41">
        <f>SUM(J41:L41)</f>
        <v>0</v>
      </c>
      <c r="N41" s="109">
        <f>IF(SUM(N$21:N$34)=0,0,SUM(N$21:N$33)/'Sch OL-TOU Cust Fcst'!$E40)</f>
        <v>0</v>
      </c>
      <c r="O41" s="23">
        <f>IF(SUM(O$21:O$34)=0,0,SUM(O$21:O$33)/'Sch OL-TOU Cust Fcst'!$E40)</f>
        <v>0</v>
      </c>
      <c r="P41" s="23">
        <f>IF(SUM(P$21:P$34)=0,0,SUM(P$21:P$33)/'Sch OL-TOU Cust Fcst'!$E40)</f>
        <v>0</v>
      </c>
      <c r="Q41" s="41">
        <f>SUM(N41:P41)</f>
        <v>0</v>
      </c>
      <c r="R41" s="109">
        <f>IF(SUM(R$21:R$34)=0,0,SUM(R$21:R$33)/'Sch OL-TOU Cust Fcst'!$F40)</f>
        <v>0</v>
      </c>
      <c r="S41" s="23">
        <f>IF(SUM(S$21:S$34)=0,0,SUM(S$21:S$33)/'Sch OL-TOU Cust Fcst'!$F40)</f>
        <v>0</v>
      </c>
      <c r="T41" s="23">
        <f>IF(SUM(T$21:T$34)=0,0,SUM(T$21:T$33)/'Sch OL-TOU Cust Fcst'!$F40)</f>
        <v>0</v>
      </c>
      <c r="U41" s="41">
        <f>SUM(R41:T41)</f>
        <v>0</v>
      </c>
    </row>
    <row r="42" spans="1:21" ht="13.5" thickBot="1">
      <c r="A42" s="176" t="s">
        <v>85</v>
      </c>
      <c r="B42" s="177">
        <f>IF(SUM(B$35:B$37)=0,0,SUM(B$35:B$37)/'Sch OL-TOU Cust Fcst'!$B41)</f>
        <v>0</v>
      </c>
      <c r="C42" s="173">
        <f>IF(SUM(C$35:C$37)=0,0,SUM(C$35:C$37)/'Sch OL-TOU Cust Fcst'!$B41)</f>
        <v>0</v>
      </c>
      <c r="D42" s="173">
        <f>IF(SUM(D$35:D$37)=0,0,SUM(D$35:D$37)/'Sch OL-TOU Cust Fcst'!$B41)</f>
        <v>0</v>
      </c>
      <c r="E42" s="182">
        <f>SUM(B42:D42)</f>
        <v>0</v>
      </c>
      <c r="F42" s="177">
        <f>IF(SUM(F$35:F$37)=0,0,SUM(F$35:F$37)/'Sch OL-TOU Cust Fcst'!$C41)</f>
        <v>0</v>
      </c>
      <c r="G42" s="173">
        <f>IF(SUM(G$35:G$37)=0,0,SUM(G$35:G$37)/'Sch OL-TOU Cust Fcst'!$C41)</f>
        <v>0</v>
      </c>
      <c r="H42" s="173">
        <f>IF(SUM(H$35:H$37)=0,0,SUM(H$35:H$37)/'Sch OL-TOU Cust Fcst'!$C41)</f>
        <v>0</v>
      </c>
      <c r="I42" s="182">
        <f>SUM(F42:H42)</f>
        <v>0</v>
      </c>
      <c r="J42" s="177">
        <f>IF(SUM(J$35:J$37)=0,0,SUM(J$35:J$37)/'Sch OL-TOU Cust Fcst'!$D41)</f>
        <v>0</v>
      </c>
      <c r="K42" s="173">
        <f>IF(SUM(K$35:K$37)=0,0,SUM(K$35:K$37)/'Sch OL-TOU Cust Fcst'!$D41)</f>
        <v>0</v>
      </c>
      <c r="L42" s="173">
        <f>IF(SUM(L$35:L$37)=0,0,SUM(L$35:L$37)/'Sch OL-TOU Cust Fcst'!$D41)</f>
        <v>0</v>
      </c>
      <c r="M42" s="182">
        <f>SUM(J42:L42)</f>
        <v>0</v>
      </c>
      <c r="N42" s="177">
        <f>IF(SUM(N$35:N$37)=0,0,SUM(N$35:N$37)/'Sch OL-TOU Cust Fcst'!$E41)</f>
        <v>0</v>
      </c>
      <c r="O42" s="173">
        <f>IF(SUM(O$35:O$37)=0,0,SUM(O$35:O$37)/'Sch OL-TOU Cust Fcst'!$E41)</f>
        <v>0</v>
      </c>
      <c r="P42" s="173">
        <f>IF(SUM(P$35:P$37)=0,0,SUM(P$35:P$37)/'Sch OL-TOU Cust Fcst'!$E41)</f>
        <v>0</v>
      </c>
      <c r="Q42" s="182">
        <f>SUM(N42:P42)</f>
        <v>0</v>
      </c>
      <c r="R42" s="177">
        <f>IF(SUM(R$35:R$37)=0,0,SUM(R$35:R$37)/'Sch OL-TOU Cust Fcst'!$F41)</f>
        <v>0</v>
      </c>
      <c r="S42" s="173">
        <f>IF(SUM(S$35:S$37)=0,0,SUM(S$35:S$37)/'Sch OL-TOU Cust Fcst'!$F41)</f>
        <v>0</v>
      </c>
      <c r="T42" s="173">
        <f>IF(SUM(T$35:T$37)=0,0,SUM(T$35:T$37)/'Sch OL-TOU Cust Fcst'!$F41)</f>
        <v>0</v>
      </c>
      <c r="U42" s="182">
        <f>SUM(R42:T42)</f>
        <v>0</v>
      </c>
    </row>
    <row r="44" spans="1:21" ht="13">
      <c r="A44" s="261" t="s">
        <v>86</v>
      </c>
      <c r="E44" s="295">
        <f>IF(SUM(B7:D37)=0,0,SUM(B7:D37)/'Sch OL-TOU Cust Fcst'!B38)-E39</f>
        <v>0</v>
      </c>
      <c r="I44" s="295">
        <f>IF(SUM(F7:H37)=0,0,SUM(F7:H37)/'Sch OL-TOU Cust Fcst'!C38)-I39</f>
        <v>0</v>
      </c>
      <c r="M44" s="295">
        <f>IF(SUM(J7:L37)=0,0,SUM(J7:L37)/'Sch OL-TOU Cust Fcst'!D38)-M39</f>
        <v>0</v>
      </c>
      <c r="Q44" s="295">
        <f>IF(SUM(N7:P37)=0,0,SUM(N7:P37)/'Sch OL-TOU Cust Fcst'!E38)-Q39</f>
        <v>0</v>
      </c>
      <c r="U44" s="295">
        <f>IF(SUM(R7:T37)=0,0,SUM(R7:T37)/'Sch OL-TOU Cust Fcst'!F38)-U39</f>
        <v>0</v>
      </c>
    </row>
    <row r="45" spans="1:21" ht="13">
      <c r="E45" s="295">
        <f>IF(SUM(B7:D20)=0,0,SUM(B7:D20)/'Sch OL-TOU Cust Fcst'!B39)-E40</f>
        <v>0</v>
      </c>
      <c r="I45" s="295">
        <f>IF(SUM(F7:H20)=0,0,SUM(F7:H20)/'Sch OL-TOU Cust Fcst'!C39)-I40</f>
        <v>0</v>
      </c>
      <c r="M45" s="295">
        <f>IF(SUM(J7:L20)=0,0,SUM(J7:L20)/'Sch OL-TOU Cust Fcst'!D39)-M40</f>
        <v>0</v>
      </c>
      <c r="Q45" s="295">
        <f>IF(SUM(N7:P20)=0,0,SUM(N7:P20)/'Sch OL-TOU Cust Fcst'!E39)-Q40</f>
        <v>0</v>
      </c>
      <c r="U45" s="295">
        <f>IF(SUM(R7:T20)=0,0,SUM(R7:T20)/'Sch OL-TOU Cust Fcst'!F39)-U40</f>
        <v>0</v>
      </c>
    </row>
    <row r="46" spans="1:21" ht="13">
      <c r="E46" s="295">
        <f>IF(SUM(B21:D34)=0,0,SUM(B21:D34)/'Sch OL-TOU Cust Fcst'!B40)-E41</f>
        <v>0</v>
      </c>
      <c r="I46" s="295">
        <f>IF(SUM(F21:H34)=0,0,SUM(F21:H34)/'Sch OL-TOU Cust Fcst'!C40)-I41</f>
        <v>0</v>
      </c>
      <c r="M46" s="295">
        <f>IF(SUM(J21:L34)=0,0,SUM(J21:L34)/'Sch OL-TOU Cust Fcst'!D40)-M41</f>
        <v>0</v>
      </c>
      <c r="Q46" s="295">
        <f>IF(SUM(N21:P34)=0,0,SUM(N21:P34)/'Sch OL-TOU Cust Fcst'!E40)-Q41</f>
        <v>0</v>
      </c>
      <c r="U46" s="295">
        <f>IF(SUM(R21:T34)=0,0,SUM(R21:T34)/'Sch OL-TOU Cust Fcst'!F40)-U41</f>
        <v>0</v>
      </c>
    </row>
    <row r="47" spans="1:21" ht="13">
      <c r="E47" s="295">
        <f>IF(SUM(B35:D35)=0,0,SUM(B35:D35)/'Sch OL-TOU Cust Fcst'!B41)-E42</f>
        <v>0</v>
      </c>
      <c r="I47" s="295">
        <f>IF(SUM(F35:H35)=0,0,SUM(F35:H35)/'Sch OL-TOU Cust Fcst'!C41)-I42</f>
        <v>0</v>
      </c>
      <c r="M47" s="295">
        <f>IF(SUM(J35:L35)=0,0,SUM(J35:L35)/'Sch OL-TOU Cust Fcst'!D41)-M42</f>
        <v>0</v>
      </c>
      <c r="Q47" s="295">
        <f>IF(SUM(N35:P35)=0,0,SUM(N35:P35)/'Sch OL-TOU Cust Fcst'!E41)-Q42</f>
        <v>0</v>
      </c>
      <c r="U47" s="295">
        <f>IF(SUM(R35:T35)=0,0,SUM(R35:T35)/'Sch OL-TOU Cust Fcst'!F41)-U42</f>
        <v>0</v>
      </c>
    </row>
    <row r="54" spans="1:1">
      <c r="A54" s="19"/>
    </row>
  </sheetData>
  <mergeCells count="8">
    <mergeCell ref="R3:U3"/>
    <mergeCell ref="A1:Q1"/>
    <mergeCell ref="B2:Q2"/>
    <mergeCell ref="R2:U2"/>
    <mergeCell ref="B3:E3"/>
    <mergeCell ref="F3:I3"/>
    <mergeCell ref="J3:M3"/>
    <mergeCell ref="N3:Q3"/>
  </mergeCells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  <colBreaks count="1" manualBreakCount="1">
    <brk id="13" max="41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7">
    <tabColor rgb="FFFFC000"/>
    <pageSetUpPr fitToPage="1"/>
  </sheetPr>
  <dimension ref="A1:E56"/>
  <sheetViews>
    <sheetView topLeftCell="A20" zoomScaleNormal="100" workbookViewId="0">
      <selection activeCell="B29" sqref="B29"/>
    </sheetView>
  </sheetViews>
  <sheetFormatPr defaultRowHeight="12.5"/>
  <cols>
    <col min="1" max="1" width="40.7265625" customWidth="1"/>
    <col min="2" max="2" width="10.26953125" style="12" bestFit="1" customWidth="1"/>
    <col min="3" max="3" width="17" style="12" bestFit="1" customWidth="1"/>
    <col min="4" max="4" width="10.26953125" style="12" customWidth="1"/>
    <col min="5" max="5" width="10.26953125" style="12" bestFit="1" customWidth="1"/>
  </cols>
  <sheetData>
    <row r="1" spans="1:5" ht="18.5" thickBot="1">
      <c r="A1" s="735" t="s">
        <v>151</v>
      </c>
      <c r="B1" s="735"/>
      <c r="C1" s="735"/>
      <c r="D1" s="735"/>
      <c r="E1" s="735"/>
    </row>
    <row r="2" spans="1:5" ht="13.5" thickBot="1">
      <c r="A2" s="103"/>
      <c r="B2" s="736" t="s">
        <v>197</v>
      </c>
      <c r="C2" s="737"/>
      <c r="D2" s="737"/>
      <c r="E2" s="738"/>
    </row>
    <row r="3" spans="1:5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128</v>
      </c>
    </row>
    <row r="4" spans="1:5" ht="13">
      <c r="A4" s="374"/>
      <c r="B4" s="5"/>
      <c r="C4" s="6"/>
      <c r="D4" s="6"/>
      <c r="E4" s="7"/>
    </row>
    <row r="5" spans="1:5" ht="13">
      <c r="A5" s="117"/>
      <c r="B5" s="104"/>
      <c r="C5" s="8"/>
      <c r="D5" s="8"/>
      <c r="E5" s="9"/>
    </row>
    <row r="6" spans="1:5" ht="13">
      <c r="A6" s="117" t="s">
        <v>49</v>
      </c>
      <c r="B6" s="114"/>
      <c r="C6" s="30"/>
      <c r="D6" s="30"/>
      <c r="E6" s="40"/>
    </row>
    <row r="7" spans="1:5" ht="13">
      <c r="A7" s="375"/>
      <c r="B7" s="114"/>
      <c r="C7" s="30"/>
      <c r="D7" s="30"/>
      <c r="E7" s="40"/>
    </row>
    <row r="8" spans="1:5" ht="13">
      <c r="A8" s="117" t="s">
        <v>53</v>
      </c>
      <c r="B8" s="115">
        <f>'Sch OL-TOU TSM'!R40</f>
        <v>17510.38454743156</v>
      </c>
      <c r="C8" s="134"/>
      <c r="D8" s="134"/>
      <c r="E8" s="44">
        <f>'Sch OL-TOU TSM'!R39</f>
        <v>17510.38454743156</v>
      </c>
    </row>
    <row r="9" spans="1:5" ht="13">
      <c r="A9" s="117" t="s">
        <v>51</v>
      </c>
      <c r="B9" s="114">
        <f>'Sch OL-TOU TSM'!S40</f>
        <v>1440.5499348403266</v>
      </c>
      <c r="C9" s="30"/>
      <c r="D9" s="30"/>
      <c r="E9" s="40">
        <f>'Sch OL-TOU TSM'!S39</f>
        <v>1440.5499348403266</v>
      </c>
    </row>
    <row r="10" spans="1:5" ht="13">
      <c r="A10" s="117" t="s">
        <v>52</v>
      </c>
      <c r="B10" s="114">
        <f>'Sch OL-TOU TSM'!T40</f>
        <v>865.67585029149416</v>
      </c>
      <c r="C10" s="30"/>
      <c r="D10" s="30"/>
      <c r="E10" s="40">
        <f>'Sch OL-TOU TSM'!T39</f>
        <v>865.67585029149416</v>
      </c>
    </row>
    <row r="11" spans="1:5" ht="13">
      <c r="A11" s="376"/>
      <c r="B11" s="114"/>
      <c r="C11" s="30"/>
      <c r="D11" s="30"/>
      <c r="E11" s="40"/>
    </row>
    <row r="12" spans="1:5" ht="13">
      <c r="A12" s="117" t="s">
        <v>35</v>
      </c>
      <c r="B12" s="114">
        <f>SUM(B8:B10)</f>
        <v>19816.610332563381</v>
      </c>
      <c r="C12" s="30"/>
      <c r="D12" s="30"/>
      <c r="E12" s="40">
        <f>SUM(E8:E10)</f>
        <v>19816.610332563381</v>
      </c>
    </row>
    <row r="13" spans="1:5" ht="13">
      <c r="A13" s="376"/>
      <c r="B13" s="114"/>
      <c r="C13" s="30"/>
      <c r="D13" s="30"/>
      <c r="E13" s="40"/>
    </row>
    <row r="14" spans="1:5" ht="13">
      <c r="A14" s="117" t="s">
        <v>61</v>
      </c>
      <c r="B14" s="114"/>
      <c r="C14" s="30"/>
      <c r="D14" s="30"/>
      <c r="E14" s="40"/>
    </row>
    <row r="15" spans="1:5" ht="13">
      <c r="A15" s="377">
        <f>Inputs!C3</f>
        <v>2.9094935671404847E-2</v>
      </c>
      <c r="B15" s="114"/>
      <c r="C15" s="30"/>
      <c r="D15" s="30"/>
      <c r="E15" s="40"/>
    </row>
    <row r="16" spans="1:5" ht="13">
      <c r="A16" s="36" t="s">
        <v>60</v>
      </c>
      <c r="B16" s="114"/>
      <c r="C16" s="30"/>
      <c r="D16" s="30"/>
      <c r="E16" s="40"/>
    </row>
    <row r="17" spans="1:5" ht="13">
      <c r="A17" s="47">
        <f>Inputs!C4</f>
        <v>1.99475E-2</v>
      </c>
      <c r="B17" s="114"/>
      <c r="C17" s="30"/>
      <c r="D17" s="30"/>
      <c r="E17" s="40"/>
    </row>
    <row r="18" spans="1:5" ht="13">
      <c r="A18" s="378" t="s">
        <v>92</v>
      </c>
      <c r="B18" s="114">
        <f>(B8*(1+$A$15)*(1+$A$17))</f>
        <v>18379.298978585935</v>
      </c>
      <c r="C18" s="30"/>
      <c r="D18" s="30"/>
      <c r="E18" s="40">
        <f>(E8*(1+$A$15)*(1+$A$17))</f>
        <v>18379.298978585935</v>
      </c>
    </row>
    <row r="19" spans="1:5" ht="13">
      <c r="A19" s="378" t="s">
        <v>51</v>
      </c>
      <c r="B19" s="114">
        <f t="shared" ref="B19:B20" si="0">(B9*(1+$A$15)*(1+$A$17))</f>
        <v>1512.0340660877387</v>
      </c>
      <c r="C19" s="30"/>
      <c r="D19" s="30"/>
      <c r="E19" s="40">
        <f t="shared" ref="E19:E20" si="1">(E9*(1+$A$15)*(1+$A$17))</f>
        <v>1512.0340660877387</v>
      </c>
    </row>
    <row r="20" spans="1:5" ht="13">
      <c r="A20" s="378" t="s">
        <v>52</v>
      </c>
      <c r="B20" s="114">
        <f t="shared" si="0"/>
        <v>908.63311584911696</v>
      </c>
      <c r="C20" s="30"/>
      <c r="D20" s="30"/>
      <c r="E20" s="40">
        <f t="shared" si="1"/>
        <v>908.63311584911696</v>
      </c>
    </row>
    <row r="21" spans="1:5" ht="13">
      <c r="A21" s="117"/>
      <c r="B21" s="119"/>
      <c r="C21" s="73"/>
      <c r="D21" s="73"/>
      <c r="E21" s="75"/>
    </row>
    <row r="22" spans="1:5" ht="13">
      <c r="A22" s="117" t="s">
        <v>35</v>
      </c>
      <c r="B22" s="119">
        <f>B18+B19+B20</f>
        <v>20799.966160522788</v>
      </c>
      <c r="C22" s="73"/>
      <c r="D22" s="73"/>
      <c r="E22" s="75">
        <f>E18+E19+E20</f>
        <v>20799.966160522788</v>
      </c>
    </row>
    <row r="23" spans="1:5" ht="13">
      <c r="A23" s="117"/>
      <c r="B23" s="114"/>
      <c r="C23" s="30"/>
      <c r="D23" s="30"/>
      <c r="E23" s="40"/>
    </row>
    <row r="24" spans="1:5" ht="13">
      <c r="A24" s="378" t="str">
        <f>'Resid TSM Sum by Rate Schedule'!A25</f>
        <v>Annualized Transformer Cost at 8.05%</v>
      </c>
      <c r="B24" s="119">
        <f>B18*Inputs!$C$5</f>
        <v>1479.1414001004632</v>
      </c>
      <c r="C24" s="73"/>
      <c r="D24" s="73"/>
      <c r="E24" s="75">
        <f>E18*Inputs!$C$5</f>
        <v>1479.1414001004632</v>
      </c>
    </row>
    <row r="25" spans="1:5" ht="13">
      <c r="A25" s="378" t="str">
        <f>'Resid TSM Sum by Rate Schedule'!A26</f>
        <v>Annualized Services Cost at 7.08%</v>
      </c>
      <c r="B25" s="119">
        <f>B19*Inputs!$C$6</f>
        <v>107.0143016613045</v>
      </c>
      <c r="C25" s="73"/>
      <c r="D25" s="73"/>
      <c r="E25" s="75">
        <f>E19*Inputs!$C$6</f>
        <v>107.0143016613045</v>
      </c>
    </row>
    <row r="26" spans="1:5" ht="16">
      <c r="A26" s="378" t="str">
        <f>'Resid TSM Sum by Rate Schedule'!A27</f>
        <v>Annualized Meter Cost at 10.78%</v>
      </c>
      <c r="B26" s="459">
        <f>B20*Inputs!$C$7</f>
        <v>97.920164653697341</v>
      </c>
      <c r="C26" s="458"/>
      <c r="D26" s="458"/>
      <c r="E26" s="457">
        <f>E20*Inputs!$C$7</f>
        <v>97.920164653697341</v>
      </c>
    </row>
    <row r="27" spans="1:5" ht="13">
      <c r="A27" s="453" t="s">
        <v>275</v>
      </c>
      <c r="B27" s="119">
        <f>SUM(B24:B26)</f>
        <v>1684.075866415465</v>
      </c>
      <c r="C27" s="73"/>
      <c r="D27" s="73"/>
      <c r="E27" s="75">
        <f>SUM(E24:E26)</f>
        <v>1684.075866415465</v>
      </c>
    </row>
    <row r="28" spans="1:5" ht="13">
      <c r="A28" s="377"/>
      <c r="B28" s="114"/>
      <c r="C28" s="30"/>
      <c r="D28" s="30"/>
      <c r="E28" s="40"/>
    </row>
    <row r="29" spans="1:5" ht="13">
      <c r="A29" s="117" t="s">
        <v>50</v>
      </c>
      <c r="B29" s="114">
        <f>'Distribution O&amp;M Allocations'!Z20</f>
        <v>215.21539499915602</v>
      </c>
      <c r="C29" s="30"/>
      <c r="D29" s="30"/>
      <c r="E29" s="40">
        <f>'Distribution O&amp;M Allocations'!Z20</f>
        <v>215.21539499915602</v>
      </c>
    </row>
    <row r="30" spans="1:5" ht="13">
      <c r="A30" s="118"/>
      <c r="B30" s="10"/>
      <c r="C30" s="27"/>
      <c r="D30" s="27"/>
      <c r="E30" s="81"/>
    </row>
    <row r="31" spans="1:5" ht="13">
      <c r="A31" s="117" t="s">
        <v>57</v>
      </c>
      <c r="B31" s="717">
        <v>447.86258547437507</v>
      </c>
      <c r="C31" s="162"/>
      <c r="D31" s="162"/>
      <c r="E31" s="290">
        <f>B31</f>
        <v>447.86258547437507</v>
      </c>
    </row>
    <row r="32" spans="1:5" ht="13.5" thickBot="1">
      <c r="A32" s="118"/>
      <c r="B32" s="116"/>
      <c r="C32" s="87"/>
      <c r="D32" s="87"/>
      <c r="E32" s="88"/>
    </row>
    <row r="33" spans="1:5" ht="13.5" thickBot="1">
      <c r="A33" s="379" t="s">
        <v>126</v>
      </c>
      <c r="B33" s="279">
        <f>B27+B29+B31</f>
        <v>2347.1538468889962</v>
      </c>
      <c r="C33" s="280"/>
      <c r="D33" s="280"/>
      <c r="E33" s="291">
        <f>E27+E29+E31</f>
        <v>2347.1538468889962</v>
      </c>
    </row>
    <row r="34" spans="1:5">
      <c r="B34" s="13"/>
      <c r="C34" s="13"/>
      <c r="D34" s="13"/>
      <c r="E34" s="13"/>
    </row>
    <row r="36" spans="1:5">
      <c r="A36" t="s">
        <v>3</v>
      </c>
    </row>
    <row r="44" spans="1:5">
      <c r="A44" s="19"/>
    </row>
    <row r="56" spans="1:1">
      <c r="A56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8">
    <tabColor rgb="FFFFC000"/>
    <pageSetUpPr fitToPage="1"/>
  </sheetPr>
  <dimension ref="A1:E58"/>
  <sheetViews>
    <sheetView topLeftCell="A11" zoomScaleNormal="100" workbookViewId="0">
      <selection activeCell="E33" sqref="E33"/>
    </sheetView>
  </sheetViews>
  <sheetFormatPr defaultRowHeight="12.5"/>
  <cols>
    <col min="1" max="1" width="40.7265625" customWidth="1"/>
    <col min="2" max="2" width="10.26953125" style="12" bestFit="1" customWidth="1"/>
    <col min="3" max="3" width="17" style="12" bestFit="1" customWidth="1"/>
    <col min="4" max="4" width="10.26953125" style="12" customWidth="1"/>
    <col min="5" max="5" width="10.26953125" style="12" bestFit="1" customWidth="1"/>
  </cols>
  <sheetData>
    <row r="1" spans="1:5" ht="18.5" thickBot="1">
      <c r="A1" s="735" t="s">
        <v>296</v>
      </c>
      <c r="B1" s="735"/>
      <c r="C1" s="735"/>
      <c r="D1" s="735"/>
      <c r="E1" s="735"/>
    </row>
    <row r="2" spans="1:5" ht="13.5" thickBot="1">
      <c r="A2" s="103"/>
      <c r="B2" s="737" t="s">
        <v>197</v>
      </c>
      <c r="C2" s="737"/>
      <c r="D2" s="737"/>
      <c r="E2" s="738"/>
    </row>
    <row r="3" spans="1:5" ht="13.5" thickBot="1">
      <c r="A3" s="77" t="s">
        <v>47</v>
      </c>
      <c r="B3" s="299" t="s">
        <v>144</v>
      </c>
      <c r="C3" s="299" t="s">
        <v>119</v>
      </c>
      <c r="D3" s="299" t="s">
        <v>85</v>
      </c>
      <c r="E3" s="445" t="s">
        <v>128</v>
      </c>
    </row>
    <row r="4" spans="1:5" ht="13">
      <c r="A4" s="35"/>
      <c r="B4" s="5"/>
      <c r="C4" s="6"/>
      <c r="D4" s="6"/>
      <c r="E4" s="7"/>
    </row>
    <row r="5" spans="1:5" ht="13">
      <c r="A5" s="36"/>
      <c r="B5" s="104"/>
      <c r="C5" s="8"/>
      <c r="D5" s="8"/>
      <c r="E5" s="9"/>
    </row>
    <row r="6" spans="1:5" ht="13">
      <c r="A6" s="36" t="s">
        <v>49</v>
      </c>
      <c r="B6" s="114"/>
      <c r="C6" s="30"/>
      <c r="D6" s="30"/>
      <c r="E6" s="40"/>
    </row>
    <row r="7" spans="1:5" ht="13">
      <c r="A7" s="37"/>
      <c r="B7" s="114"/>
      <c r="C7" s="30"/>
      <c r="D7" s="30"/>
      <c r="E7" s="40"/>
    </row>
    <row r="8" spans="1:5" ht="13">
      <c r="A8" s="36" t="s">
        <v>53</v>
      </c>
      <c r="B8" s="115">
        <f>'Sch OL-TOU TSM Summary'!B8*Inputs!$C$12</f>
        <v>19001.289849894278</v>
      </c>
      <c r="C8" s="134"/>
      <c r="D8" s="134"/>
      <c r="E8" s="44">
        <f>'Sch OL-TOU TSM Summary'!E8*Inputs!$C$12</f>
        <v>19001.289849894278</v>
      </c>
    </row>
    <row r="9" spans="1:5" ht="13">
      <c r="A9" s="36" t="s">
        <v>51</v>
      </c>
      <c r="B9" s="115">
        <f>'Sch OL-TOU TSM Summary'!B9*Inputs!$C$12</f>
        <v>1563.2042106786489</v>
      </c>
      <c r="C9" s="134"/>
      <c r="D9" s="134"/>
      <c r="E9" s="44">
        <f>'Sch OL-TOU TSM Summary'!E9*Inputs!$C$12</f>
        <v>1563.2042106786489</v>
      </c>
    </row>
    <row r="10" spans="1:5" ht="13">
      <c r="A10" s="36" t="s">
        <v>52</v>
      </c>
      <c r="B10" s="115">
        <f>'Sch OL-TOU TSM Summary'!B10*Inputs!$C$12</f>
        <v>939.38301028660817</v>
      </c>
      <c r="C10" s="134"/>
      <c r="D10" s="134"/>
      <c r="E10" s="44">
        <f>'Sch OL-TOU TSM Summary'!E10*Inputs!$C$12</f>
        <v>939.38301028660817</v>
      </c>
    </row>
    <row r="11" spans="1:5" ht="13">
      <c r="A11" s="38"/>
      <c r="B11" s="114"/>
      <c r="C11" s="30"/>
      <c r="D11" s="30"/>
      <c r="E11" s="40"/>
    </row>
    <row r="12" spans="1:5" ht="13">
      <c r="A12" s="36" t="s">
        <v>35</v>
      </c>
      <c r="B12" s="114">
        <f>SUM(B8:B10)</f>
        <v>21503.877070859537</v>
      </c>
      <c r="C12" s="30"/>
      <c r="D12" s="30"/>
      <c r="E12" s="40">
        <f>SUM(E8:E10)</f>
        <v>21503.877070859537</v>
      </c>
    </row>
    <row r="13" spans="1:5" ht="13">
      <c r="A13" s="38"/>
      <c r="B13" s="114"/>
      <c r="C13" s="30"/>
      <c r="D13" s="30"/>
      <c r="E13" s="40"/>
    </row>
    <row r="14" spans="1:5" ht="13">
      <c r="A14" s="36" t="s">
        <v>61</v>
      </c>
      <c r="B14" s="114"/>
      <c r="C14" s="30"/>
      <c r="D14" s="30"/>
      <c r="E14" s="40"/>
    </row>
    <row r="15" spans="1:5" ht="13">
      <c r="A15" s="47">
        <f>Inputs!C3</f>
        <v>2.9094935671404847E-2</v>
      </c>
      <c r="B15" s="114"/>
      <c r="C15" s="30"/>
      <c r="D15" s="30"/>
      <c r="E15" s="40"/>
    </row>
    <row r="16" spans="1:5" ht="13">
      <c r="A16" s="36" t="s">
        <v>60</v>
      </c>
      <c r="B16" s="114"/>
      <c r="C16" s="30"/>
      <c r="D16" s="30"/>
      <c r="E16" s="40"/>
    </row>
    <row r="17" spans="1:5" ht="13">
      <c r="A17" s="47">
        <f>Inputs!C4</f>
        <v>1.99475E-2</v>
      </c>
      <c r="B17" s="114"/>
      <c r="C17" s="30"/>
      <c r="D17" s="30"/>
      <c r="E17" s="40"/>
    </row>
    <row r="18" spans="1:5" ht="13">
      <c r="A18" s="94" t="s">
        <v>92</v>
      </c>
      <c r="B18" s="114">
        <f>(B8*(1+$A$15)*(1+$A$17))</f>
        <v>19944.187186980005</v>
      </c>
      <c r="C18" s="30"/>
      <c r="D18" s="30"/>
      <c r="E18" s="40">
        <f>(E8*(1+$A$15)*(1+$A$17))</f>
        <v>19944.187186980005</v>
      </c>
    </row>
    <row r="19" spans="1:5" ht="13">
      <c r="A19" s="94" t="s">
        <v>51</v>
      </c>
      <c r="B19" s="114">
        <f t="shared" ref="B19:B20" si="0">(B9*(1+$A$15)*(1+$A$17))</f>
        <v>1640.7747913715325</v>
      </c>
      <c r="C19" s="30"/>
      <c r="D19" s="30"/>
      <c r="E19" s="40">
        <f t="shared" ref="E19:E20" si="1">(E9*(1+$A$15)*(1+$A$17))</f>
        <v>1640.7747913715325</v>
      </c>
    </row>
    <row r="20" spans="1:5" ht="13">
      <c r="A20" s="94" t="s">
        <v>52</v>
      </c>
      <c r="B20" s="114">
        <f t="shared" si="0"/>
        <v>985.99783201186824</v>
      </c>
      <c r="C20" s="30"/>
      <c r="D20" s="30"/>
      <c r="E20" s="40">
        <f t="shared" si="1"/>
        <v>985.99783201186824</v>
      </c>
    </row>
    <row r="21" spans="1:5" ht="13">
      <c r="A21" s="36"/>
      <c r="B21" s="119"/>
      <c r="C21" s="73"/>
      <c r="D21" s="73"/>
      <c r="E21" s="75"/>
    </row>
    <row r="22" spans="1:5" ht="13">
      <c r="A22" s="36" t="s">
        <v>35</v>
      </c>
      <c r="B22" s="119">
        <f>B18+B19+B20</f>
        <v>22570.959810363405</v>
      </c>
      <c r="C22" s="73"/>
      <c r="D22" s="73"/>
      <c r="E22" s="75">
        <f>E18+E19+E20</f>
        <v>22570.959810363405</v>
      </c>
    </row>
    <row r="23" spans="1:5" ht="13">
      <c r="A23" s="36"/>
      <c r="B23" s="114"/>
      <c r="C23" s="30"/>
      <c r="D23" s="30"/>
      <c r="E23" s="40"/>
    </row>
    <row r="24" spans="1:5" ht="13">
      <c r="A24" s="94" t="str">
        <f>'Resid TSM Sum by Rate Schedule'!A25</f>
        <v>Annualized Transformer Cost at 8.05%</v>
      </c>
      <c r="B24" s="119">
        <f>B18*Inputs!$C$5</f>
        <v>1605.0815101265096</v>
      </c>
      <c r="C24" s="73"/>
      <c r="D24" s="73"/>
      <c r="E24" s="75">
        <f>E18*Inputs!$C$5</f>
        <v>1605.0815101265096</v>
      </c>
    </row>
    <row r="25" spans="1:5" ht="13">
      <c r="A25" s="94" t="str">
        <f>'Resid TSM Sum by Rate Schedule'!A26</f>
        <v>Annualized Services Cost at 7.08%</v>
      </c>
      <c r="B25" s="119">
        <f>B19*Inputs!$C$6</f>
        <v>116.1259342102074</v>
      </c>
      <c r="C25" s="73"/>
      <c r="D25" s="73"/>
      <c r="E25" s="75">
        <f>E19*Inputs!$C$6</f>
        <v>116.1259342102074</v>
      </c>
    </row>
    <row r="26" spans="1:5" ht="16">
      <c r="A26" s="94" t="str">
        <f>'Resid TSM Sum by Rate Schedule'!A27</f>
        <v>Annualized Meter Cost at 10.78%</v>
      </c>
      <c r="B26" s="459">
        <f>B20*Inputs!$C$7</f>
        <v>106.25748541925606</v>
      </c>
      <c r="C26" s="458"/>
      <c r="D26" s="458"/>
      <c r="E26" s="457">
        <f>E20*Inputs!$C$7</f>
        <v>106.25748541925606</v>
      </c>
    </row>
    <row r="27" spans="1:5" ht="13">
      <c r="A27" s="86" t="s">
        <v>275</v>
      </c>
      <c r="B27" s="119">
        <f>SUM(B24:B26)</f>
        <v>1827.4649297559729</v>
      </c>
      <c r="C27" s="73"/>
      <c r="D27" s="73"/>
      <c r="E27" s="75">
        <f>SUM(E24:E26)</f>
        <v>1827.4649297559729</v>
      </c>
    </row>
    <row r="28" spans="1:5" ht="13">
      <c r="A28" s="47"/>
      <c r="B28" s="114"/>
      <c r="C28" s="30"/>
      <c r="D28" s="30"/>
      <c r="E28" s="40"/>
    </row>
    <row r="29" spans="1:5" ht="13">
      <c r="A29" s="36" t="s">
        <v>50</v>
      </c>
      <c r="B29" s="114">
        <f>'Sch OL-TOU TSM Summary'!B$29*Inputs!$C$13</f>
        <v>226.73969166485369</v>
      </c>
      <c r="C29" s="30"/>
      <c r="D29" s="30"/>
      <c r="E29" s="40">
        <f>'Sch OL-TOU TSM Summary'!E$29*Inputs!$C$13</f>
        <v>226.73969166485369</v>
      </c>
    </row>
    <row r="30" spans="1:5" ht="16">
      <c r="A30" s="36" t="s">
        <v>330</v>
      </c>
      <c r="B30" s="546">
        <f>-Inputs!$C$18</f>
        <v>-3.0284021924274875</v>
      </c>
      <c r="C30" s="30"/>
      <c r="D30" s="30"/>
      <c r="E30" s="547">
        <f>-Inputs!$C$18</f>
        <v>-3.0284021924274875</v>
      </c>
    </row>
    <row r="31" spans="1:5" ht="13">
      <c r="A31" s="36" t="s">
        <v>328</v>
      </c>
      <c r="B31" s="114">
        <f>B29+B30</f>
        <v>223.71128947242622</v>
      </c>
      <c r="C31" s="30"/>
      <c r="D31" s="30"/>
      <c r="E31" s="40">
        <f>E29+E30</f>
        <v>223.71128947242622</v>
      </c>
    </row>
    <row r="32" spans="1:5" ht="13">
      <c r="A32" s="11"/>
      <c r="B32" s="10"/>
      <c r="C32" s="27"/>
      <c r="D32" s="27"/>
      <c r="E32" s="81"/>
    </row>
    <row r="33" spans="1:5" ht="13">
      <c r="A33" s="36" t="s">
        <v>57</v>
      </c>
      <c r="B33" s="161">
        <f>'Sch OL-TOU TSM Summary'!B31*Inputs!$C$14</f>
        <v>481.55031066335573</v>
      </c>
      <c r="C33" s="162"/>
      <c r="D33" s="162"/>
      <c r="E33" s="290">
        <f>B33</f>
        <v>481.55031066335573</v>
      </c>
    </row>
    <row r="34" spans="1:5" ht="13.5" thickBot="1">
      <c r="A34" s="11"/>
      <c r="B34" s="116"/>
      <c r="C34" s="87"/>
      <c r="D34" s="87"/>
      <c r="E34" s="88"/>
    </row>
    <row r="35" spans="1:5" ht="13.5" thickBot="1">
      <c r="A35" s="379" t="s">
        <v>126</v>
      </c>
      <c r="B35" s="280">
        <f>B27+B31+B33</f>
        <v>2532.7265298917546</v>
      </c>
      <c r="C35" s="280"/>
      <c r="D35" s="280"/>
      <c r="E35" s="291">
        <f>E27+E31+E33</f>
        <v>2532.7265298917546</v>
      </c>
    </row>
    <row r="36" spans="1:5">
      <c r="B36" s="13"/>
      <c r="C36" s="13"/>
      <c r="D36" s="13"/>
      <c r="E36" s="13"/>
    </row>
    <row r="38" spans="1:5">
      <c r="A38" t="s">
        <v>3</v>
      </c>
    </row>
    <row r="46" spans="1:5">
      <c r="A46" s="19"/>
    </row>
    <row r="58" spans="1:1">
      <c r="A58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9">
    <tabColor rgb="FFFFC000"/>
    <pageSetUpPr fitToPage="1"/>
  </sheetPr>
  <dimension ref="A1:N227"/>
  <sheetViews>
    <sheetView zoomScaleNormal="100" workbookViewId="0">
      <pane ySplit="3" topLeftCell="A29" activePane="bottomLeft" state="frozen"/>
      <selection activeCell="D15" sqref="D15"/>
      <selection pane="bottomLeft" activeCell="B50" sqref="B50:I51"/>
    </sheetView>
  </sheetViews>
  <sheetFormatPr defaultRowHeight="12.5"/>
  <cols>
    <col min="1" max="1" width="25" bestFit="1" customWidth="1"/>
    <col min="2" max="2" width="16.1796875" bestFit="1" customWidth="1"/>
    <col min="3" max="3" width="15.54296875" bestFit="1" customWidth="1"/>
    <col min="4" max="4" width="11.26953125" bestFit="1" customWidth="1"/>
    <col min="5" max="5" width="10.26953125" bestFit="1" customWidth="1"/>
    <col min="6" max="6" width="9.54296875" customWidth="1"/>
    <col min="7" max="7" width="8.7265625" bestFit="1" customWidth="1"/>
    <col min="8" max="8" width="13" bestFit="1" customWidth="1"/>
    <col min="9" max="9" width="12" customWidth="1"/>
    <col min="10" max="10" width="13.1796875" customWidth="1"/>
    <col min="11" max="11" width="12.453125" bestFit="1" customWidth="1"/>
  </cols>
  <sheetData>
    <row r="1" spans="1:11" ht="18.5" thickBot="1">
      <c r="A1" s="750" t="s">
        <v>120</v>
      </c>
      <c r="B1" s="750"/>
      <c r="C1" s="750"/>
      <c r="D1" s="750"/>
      <c r="E1" s="750"/>
      <c r="F1" s="750"/>
      <c r="G1" s="750"/>
      <c r="H1" s="750"/>
      <c r="I1" s="750"/>
    </row>
    <row r="2" spans="1:11" ht="13.5" thickBot="1">
      <c r="A2" s="103"/>
      <c r="B2" s="736" t="s">
        <v>0</v>
      </c>
      <c r="C2" s="737"/>
      <c r="D2" s="737"/>
      <c r="E2" s="737"/>
      <c r="F2" s="738"/>
      <c r="G2" s="486"/>
      <c r="H2" s="103"/>
      <c r="I2" s="103"/>
    </row>
    <row r="3" spans="1:11" ht="13.5" thickBot="1">
      <c r="A3" s="77" t="s">
        <v>4</v>
      </c>
      <c r="B3" s="74" t="s">
        <v>116</v>
      </c>
      <c r="C3" s="26" t="s">
        <v>95</v>
      </c>
      <c r="D3" s="26" t="s">
        <v>33</v>
      </c>
      <c r="E3" s="26" t="s">
        <v>34</v>
      </c>
      <c r="F3" s="234" t="s">
        <v>208</v>
      </c>
      <c r="G3" s="487" t="s">
        <v>1</v>
      </c>
      <c r="H3" s="77" t="s">
        <v>84</v>
      </c>
      <c r="I3" s="77" t="s">
        <v>2</v>
      </c>
    </row>
    <row r="4" spans="1:11" ht="13">
      <c r="A4" s="10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5" t="s">
        <v>45</v>
      </c>
      <c r="H4" s="105" t="s">
        <v>45</v>
      </c>
      <c r="I4" s="105" t="s">
        <v>45</v>
      </c>
    </row>
    <row r="5" spans="1:11" ht="13">
      <c r="A5" s="106"/>
      <c r="B5" s="104"/>
      <c r="C5" s="8"/>
      <c r="D5" s="8"/>
      <c r="E5" s="8"/>
      <c r="F5" s="9"/>
      <c r="G5" s="104"/>
      <c r="H5" s="106"/>
      <c r="I5" s="106"/>
    </row>
    <row r="6" spans="1:11" ht="13">
      <c r="A6" s="21" t="s">
        <v>5</v>
      </c>
      <c r="B6" s="435">
        <v>4</v>
      </c>
      <c r="C6" s="436">
        <v>0</v>
      </c>
      <c r="D6" s="436">
        <v>2</v>
      </c>
      <c r="E6" s="436">
        <v>0</v>
      </c>
      <c r="F6" s="185">
        <f>SUM(B6:E6)</f>
        <v>6</v>
      </c>
      <c r="G6" s="436">
        <v>0</v>
      </c>
      <c r="H6" s="435"/>
      <c r="I6" s="219">
        <f t="shared" ref="I6:I26" si="0">F6+G6+H6</f>
        <v>6</v>
      </c>
    </row>
    <row r="7" spans="1:11" ht="13">
      <c r="A7" s="20" t="s">
        <v>6</v>
      </c>
      <c r="B7" s="435">
        <v>5</v>
      </c>
      <c r="C7" s="436">
        <v>0</v>
      </c>
      <c r="D7" s="436">
        <v>1</v>
      </c>
      <c r="E7" s="436">
        <v>0</v>
      </c>
      <c r="F7" s="185">
        <f t="shared" ref="F7" si="1">SUM(B7:E7)</f>
        <v>6</v>
      </c>
      <c r="G7" s="436">
        <v>1</v>
      </c>
      <c r="H7" s="435"/>
      <c r="I7" s="219">
        <f t="shared" si="0"/>
        <v>7</v>
      </c>
      <c r="J7" s="175"/>
    </row>
    <row r="8" spans="1:11" ht="13">
      <c r="A8" s="22" t="s">
        <v>7</v>
      </c>
      <c r="B8" s="435">
        <v>2</v>
      </c>
      <c r="C8" s="436">
        <v>2</v>
      </c>
      <c r="D8" s="436">
        <v>3</v>
      </c>
      <c r="E8" s="436">
        <v>0</v>
      </c>
      <c r="F8" s="185">
        <f t="shared" ref="F8:F25" si="2">SUM(B8:E8)</f>
        <v>7</v>
      </c>
      <c r="G8" s="436">
        <v>0</v>
      </c>
      <c r="H8" s="435"/>
      <c r="I8" s="219">
        <f t="shared" si="0"/>
        <v>7</v>
      </c>
    </row>
    <row r="9" spans="1:11" ht="13">
      <c r="A9" s="22" t="s">
        <v>105</v>
      </c>
      <c r="B9" s="435">
        <v>4</v>
      </c>
      <c r="C9" s="436">
        <v>0</v>
      </c>
      <c r="D9" s="436">
        <v>2</v>
      </c>
      <c r="E9" s="436">
        <v>1</v>
      </c>
      <c r="F9" s="185">
        <f t="shared" si="2"/>
        <v>7</v>
      </c>
      <c r="G9" s="436">
        <v>0</v>
      </c>
      <c r="H9" s="435"/>
      <c r="I9" s="219">
        <f t="shared" si="0"/>
        <v>7</v>
      </c>
    </row>
    <row r="10" spans="1:11" ht="13">
      <c r="A10" s="22" t="s">
        <v>97</v>
      </c>
      <c r="B10" s="435">
        <v>4</v>
      </c>
      <c r="C10" s="436">
        <v>2</v>
      </c>
      <c r="D10" s="436">
        <v>5</v>
      </c>
      <c r="E10" s="436">
        <v>1</v>
      </c>
      <c r="F10" s="185">
        <f t="shared" si="2"/>
        <v>12</v>
      </c>
      <c r="G10" s="436">
        <v>0</v>
      </c>
      <c r="H10" s="435"/>
      <c r="I10" s="219">
        <f t="shared" si="0"/>
        <v>12</v>
      </c>
      <c r="K10" s="175"/>
    </row>
    <row r="11" spans="1:11" ht="13">
      <c r="A11" s="22" t="s">
        <v>8</v>
      </c>
      <c r="B11" s="435">
        <v>26</v>
      </c>
      <c r="C11" s="436">
        <v>6</v>
      </c>
      <c r="D11" s="436">
        <v>56</v>
      </c>
      <c r="E11" s="436">
        <v>12</v>
      </c>
      <c r="F11" s="185">
        <f t="shared" si="2"/>
        <v>100</v>
      </c>
      <c r="G11" s="436">
        <v>2</v>
      </c>
      <c r="H11" s="435"/>
      <c r="I11" s="219">
        <f t="shared" si="0"/>
        <v>102</v>
      </c>
    </row>
    <row r="12" spans="1:11" ht="13">
      <c r="A12" s="22" t="s">
        <v>9</v>
      </c>
      <c r="B12" s="435">
        <v>16</v>
      </c>
      <c r="C12" s="436">
        <v>3</v>
      </c>
      <c r="D12" s="436">
        <v>64</v>
      </c>
      <c r="E12" s="436">
        <v>13</v>
      </c>
      <c r="F12" s="185">
        <f t="shared" si="2"/>
        <v>96</v>
      </c>
      <c r="G12" s="436">
        <v>0</v>
      </c>
      <c r="H12" s="435"/>
      <c r="I12" s="219">
        <f t="shared" si="0"/>
        <v>96</v>
      </c>
      <c r="J12" s="175"/>
      <c r="K12" s="175"/>
    </row>
    <row r="13" spans="1:11" ht="13">
      <c r="A13" s="22" t="s">
        <v>10</v>
      </c>
      <c r="B13" s="435">
        <v>1</v>
      </c>
      <c r="C13" s="436">
        <v>1</v>
      </c>
      <c r="D13" s="436">
        <v>44</v>
      </c>
      <c r="E13" s="436">
        <v>10</v>
      </c>
      <c r="F13" s="185">
        <f t="shared" si="2"/>
        <v>56</v>
      </c>
      <c r="G13" s="436">
        <v>0</v>
      </c>
      <c r="H13" s="435"/>
      <c r="I13" s="219">
        <f t="shared" si="0"/>
        <v>56</v>
      </c>
      <c r="K13" s="175"/>
    </row>
    <row r="14" spans="1:11" ht="13">
      <c r="A14" s="22" t="s">
        <v>11</v>
      </c>
      <c r="B14" s="435">
        <v>2</v>
      </c>
      <c r="C14" s="436">
        <v>1</v>
      </c>
      <c r="D14" s="436">
        <v>81</v>
      </c>
      <c r="E14" s="436">
        <v>20</v>
      </c>
      <c r="F14" s="185">
        <f t="shared" si="2"/>
        <v>104</v>
      </c>
      <c r="G14" s="436">
        <v>5</v>
      </c>
      <c r="H14" s="435"/>
      <c r="I14" s="219">
        <f t="shared" si="0"/>
        <v>109</v>
      </c>
    </row>
    <row r="15" spans="1:11" ht="13">
      <c r="A15" s="22" t="s">
        <v>101</v>
      </c>
      <c r="B15" s="435">
        <v>1</v>
      </c>
      <c r="C15" s="436">
        <v>1</v>
      </c>
      <c r="D15" s="436">
        <v>86</v>
      </c>
      <c r="E15" s="436">
        <v>52</v>
      </c>
      <c r="F15" s="185">
        <f t="shared" si="2"/>
        <v>140</v>
      </c>
      <c r="G15" s="436">
        <v>6</v>
      </c>
      <c r="H15" s="435"/>
      <c r="I15" s="219">
        <f t="shared" si="0"/>
        <v>146</v>
      </c>
    </row>
    <row r="16" spans="1:11" ht="13">
      <c r="A16" s="22" t="s">
        <v>102</v>
      </c>
      <c r="B16" s="435"/>
      <c r="C16" s="436"/>
      <c r="D16" s="436">
        <v>60</v>
      </c>
      <c r="E16" s="436">
        <v>43</v>
      </c>
      <c r="F16" s="185">
        <f t="shared" si="2"/>
        <v>103</v>
      </c>
      <c r="G16" s="436">
        <v>6</v>
      </c>
      <c r="H16" s="435"/>
      <c r="I16" s="219">
        <f t="shared" si="0"/>
        <v>109</v>
      </c>
    </row>
    <row r="17" spans="1:9" ht="13">
      <c r="A17" s="22" t="s">
        <v>12</v>
      </c>
      <c r="B17" s="435"/>
      <c r="C17" s="436"/>
      <c r="D17" s="436">
        <v>21</v>
      </c>
      <c r="E17" s="436">
        <v>82</v>
      </c>
      <c r="F17" s="185">
        <f t="shared" si="2"/>
        <v>103</v>
      </c>
      <c r="G17" s="436">
        <v>3</v>
      </c>
      <c r="H17" s="435"/>
      <c r="I17" s="219">
        <f t="shared" si="0"/>
        <v>106</v>
      </c>
    </row>
    <row r="18" spans="1:9" ht="13">
      <c r="A18" s="22" t="s">
        <v>13</v>
      </c>
      <c r="B18" s="435"/>
      <c r="C18" s="436"/>
      <c r="D18" s="436">
        <v>2</v>
      </c>
      <c r="E18" s="436">
        <v>27</v>
      </c>
      <c r="F18" s="185">
        <f t="shared" si="2"/>
        <v>29</v>
      </c>
      <c r="G18" s="436">
        <v>11</v>
      </c>
      <c r="H18" s="435"/>
      <c r="I18" s="219">
        <f t="shared" si="0"/>
        <v>40</v>
      </c>
    </row>
    <row r="19" spans="1:9" ht="13">
      <c r="A19" s="22" t="s">
        <v>103</v>
      </c>
      <c r="B19" s="435"/>
      <c r="C19" s="436"/>
      <c r="D19" s="436">
        <v>0</v>
      </c>
      <c r="E19" s="436">
        <v>12</v>
      </c>
      <c r="F19" s="185">
        <f t="shared" si="2"/>
        <v>12</v>
      </c>
      <c r="G19" s="436">
        <v>1</v>
      </c>
      <c r="H19" s="435"/>
      <c r="I19" s="219">
        <f t="shared" si="0"/>
        <v>13</v>
      </c>
    </row>
    <row r="20" spans="1:9" s="52" customFormat="1" ht="13">
      <c r="A20" s="22" t="s">
        <v>104</v>
      </c>
      <c r="B20" s="435"/>
      <c r="C20" s="436"/>
      <c r="D20" s="436">
        <v>2</v>
      </c>
      <c r="E20" s="436">
        <v>5</v>
      </c>
      <c r="F20" s="185">
        <f t="shared" si="2"/>
        <v>7</v>
      </c>
      <c r="G20" s="436">
        <v>0</v>
      </c>
      <c r="H20" s="435"/>
      <c r="I20" s="219">
        <f t="shared" si="0"/>
        <v>7</v>
      </c>
    </row>
    <row r="21" spans="1:9" ht="13">
      <c r="A21" s="22" t="s">
        <v>14</v>
      </c>
      <c r="B21" s="435"/>
      <c r="C21" s="436"/>
      <c r="D21" s="436"/>
      <c r="E21" s="436">
        <v>10</v>
      </c>
      <c r="F21" s="185">
        <f t="shared" si="2"/>
        <v>10</v>
      </c>
      <c r="G21" s="436">
        <v>3</v>
      </c>
      <c r="H21" s="435"/>
      <c r="I21" s="219">
        <f t="shared" si="0"/>
        <v>13</v>
      </c>
    </row>
    <row r="22" spans="1:9" ht="13">
      <c r="A22" s="22" t="s">
        <v>15</v>
      </c>
      <c r="B22" s="435"/>
      <c r="C22" s="436"/>
      <c r="D22" s="436"/>
      <c r="E22" s="436">
        <v>2</v>
      </c>
      <c r="F22" s="185">
        <f t="shared" si="2"/>
        <v>2</v>
      </c>
      <c r="G22" s="436">
        <v>0</v>
      </c>
      <c r="H22" s="435"/>
      <c r="I22" s="219">
        <f t="shared" si="0"/>
        <v>2</v>
      </c>
    </row>
    <row r="23" spans="1:9" ht="13">
      <c r="A23" s="21" t="s">
        <v>16</v>
      </c>
      <c r="B23" s="435"/>
      <c r="C23" s="436"/>
      <c r="D23" s="436"/>
      <c r="E23" s="436">
        <v>0</v>
      </c>
      <c r="F23" s="185">
        <f t="shared" si="2"/>
        <v>0</v>
      </c>
      <c r="G23" s="436">
        <v>1</v>
      </c>
      <c r="H23" s="435"/>
      <c r="I23" s="219">
        <f t="shared" si="0"/>
        <v>1</v>
      </c>
    </row>
    <row r="24" spans="1:9" ht="13">
      <c r="A24" s="22" t="s">
        <v>17</v>
      </c>
      <c r="B24" s="435"/>
      <c r="C24" s="436"/>
      <c r="D24" s="436"/>
      <c r="E24" s="436">
        <v>3</v>
      </c>
      <c r="F24" s="185">
        <f t="shared" si="2"/>
        <v>3</v>
      </c>
      <c r="G24" s="436">
        <v>4</v>
      </c>
      <c r="H24" s="435"/>
      <c r="I24" s="219">
        <f t="shared" si="0"/>
        <v>7</v>
      </c>
    </row>
    <row r="25" spans="1:9" ht="13">
      <c r="A25" s="22" t="s">
        <v>18</v>
      </c>
      <c r="B25" s="435"/>
      <c r="C25" s="436"/>
      <c r="D25" s="436"/>
      <c r="E25" s="436">
        <v>1</v>
      </c>
      <c r="F25" s="185">
        <f t="shared" si="2"/>
        <v>1</v>
      </c>
      <c r="G25" s="436">
        <v>1</v>
      </c>
      <c r="H25" s="435"/>
      <c r="I25" s="219">
        <f t="shared" si="0"/>
        <v>2</v>
      </c>
    </row>
    <row r="26" spans="1:9" ht="13">
      <c r="A26" s="22" t="s">
        <v>19</v>
      </c>
      <c r="B26" s="435"/>
      <c r="C26" s="436"/>
      <c r="D26" s="436"/>
      <c r="E26" s="436"/>
      <c r="F26" s="185"/>
      <c r="G26" s="436">
        <v>1</v>
      </c>
      <c r="H26" s="435"/>
      <c r="I26" s="219">
        <f t="shared" si="0"/>
        <v>1</v>
      </c>
    </row>
    <row r="27" spans="1:9" ht="13">
      <c r="A27" s="22" t="s">
        <v>20</v>
      </c>
      <c r="B27" s="435"/>
      <c r="C27" s="436"/>
      <c r="D27" s="436"/>
      <c r="E27" s="436"/>
      <c r="F27" s="185"/>
      <c r="G27" s="436"/>
      <c r="H27" s="435"/>
      <c r="I27" s="219"/>
    </row>
    <row r="28" spans="1:9" ht="13">
      <c r="A28" s="22" t="s">
        <v>21</v>
      </c>
      <c r="B28" s="435"/>
      <c r="C28" s="436"/>
      <c r="D28" s="436"/>
      <c r="E28" s="436"/>
      <c r="F28" s="185"/>
      <c r="G28" s="436"/>
      <c r="H28" s="435"/>
      <c r="I28" s="219"/>
    </row>
    <row r="29" spans="1:9" ht="13">
      <c r="A29" s="22" t="s">
        <v>22</v>
      </c>
      <c r="B29" s="435"/>
      <c r="C29" s="436"/>
      <c r="D29" s="436"/>
      <c r="E29" s="436"/>
      <c r="F29" s="185"/>
      <c r="G29" s="436"/>
      <c r="H29" s="435"/>
      <c r="I29" s="219"/>
    </row>
    <row r="30" spans="1:9" ht="13">
      <c r="A30" s="22" t="s">
        <v>23</v>
      </c>
      <c r="B30" s="435"/>
      <c r="C30" s="436"/>
      <c r="D30" s="436"/>
      <c r="E30" s="436"/>
      <c r="F30" s="185"/>
      <c r="G30" s="435"/>
      <c r="H30" s="435"/>
      <c r="I30" s="219"/>
    </row>
    <row r="31" spans="1:9" ht="13">
      <c r="A31" s="22" t="s">
        <v>24</v>
      </c>
      <c r="B31" s="435"/>
      <c r="C31" s="436"/>
      <c r="D31" s="436"/>
      <c r="E31" s="436"/>
      <c r="F31" s="185"/>
      <c r="G31" s="435"/>
      <c r="H31" s="435"/>
      <c r="I31" s="219"/>
    </row>
    <row r="32" spans="1:9" ht="13">
      <c r="A32" s="21" t="s">
        <v>25</v>
      </c>
      <c r="B32" s="435"/>
      <c r="C32" s="436"/>
      <c r="D32" s="436"/>
      <c r="E32" s="436"/>
      <c r="F32" s="185"/>
      <c r="G32" s="435"/>
      <c r="H32" s="435"/>
      <c r="I32" s="219"/>
    </row>
    <row r="33" spans="1:14" ht="13">
      <c r="A33" s="21" t="s">
        <v>106</v>
      </c>
      <c r="B33" s="435"/>
      <c r="C33" s="436"/>
      <c r="D33" s="436"/>
      <c r="E33" s="436"/>
      <c r="F33" s="185"/>
      <c r="G33" s="435"/>
      <c r="H33" s="435"/>
      <c r="I33" s="219"/>
    </row>
    <row r="34" spans="1:14" ht="13">
      <c r="A34" s="21" t="s">
        <v>107</v>
      </c>
      <c r="B34" s="435"/>
      <c r="C34" s="436"/>
      <c r="D34" s="436"/>
      <c r="E34" s="436"/>
      <c r="F34" s="185"/>
      <c r="G34" s="435"/>
      <c r="H34" s="435"/>
      <c r="I34" s="219"/>
    </row>
    <row r="35" spans="1:14" ht="13">
      <c r="A35" s="21" t="s">
        <v>26</v>
      </c>
      <c r="B35" s="435"/>
      <c r="C35" s="436"/>
      <c r="D35" s="436"/>
      <c r="E35" s="436"/>
      <c r="F35" s="185"/>
      <c r="G35" s="435"/>
      <c r="H35" s="435"/>
      <c r="I35" s="219"/>
    </row>
    <row r="36" spans="1:14" ht="13">
      <c r="A36" s="21" t="s">
        <v>27</v>
      </c>
      <c r="B36" s="435"/>
      <c r="C36" s="436"/>
      <c r="D36" s="436"/>
      <c r="E36" s="436"/>
      <c r="F36" s="185"/>
      <c r="G36" s="435"/>
      <c r="H36" s="435"/>
      <c r="I36" s="219"/>
    </row>
    <row r="37" spans="1:14" ht="13.5" thickBot="1">
      <c r="A37" s="124"/>
      <c r="B37" s="205"/>
      <c r="C37" s="206"/>
      <c r="D37" s="206"/>
      <c r="E37" s="206"/>
      <c r="F37" s="210"/>
      <c r="G37" s="489"/>
      <c r="H37" s="254"/>
      <c r="I37" s="227"/>
    </row>
    <row r="38" spans="1:14" ht="13.5" thickBot="1">
      <c r="A38" s="178" t="s">
        <v>2</v>
      </c>
      <c r="B38" s="357">
        <f t="shared" ref="B38:G38" si="3">SUM(B6:B37)</f>
        <v>65</v>
      </c>
      <c r="C38" s="348">
        <f t="shared" si="3"/>
        <v>16</v>
      </c>
      <c r="D38" s="348">
        <f t="shared" si="3"/>
        <v>429</v>
      </c>
      <c r="E38" s="348">
        <f t="shared" si="3"/>
        <v>294</v>
      </c>
      <c r="F38" s="358">
        <f t="shared" si="3"/>
        <v>804</v>
      </c>
      <c r="G38" s="347">
        <f t="shared" si="3"/>
        <v>45</v>
      </c>
      <c r="H38" s="348"/>
      <c r="I38" s="347">
        <f>SUM(I6:I37)</f>
        <v>849</v>
      </c>
      <c r="K38" s="544"/>
      <c r="L38" s="544"/>
      <c r="M38" s="544"/>
      <c r="N38" s="544"/>
    </row>
    <row r="39" spans="1:14" ht="13">
      <c r="A39" s="21" t="s">
        <v>141</v>
      </c>
      <c r="B39" s="388">
        <f t="shared" ref="B39:G39" si="4">SUM(B6:B19)</f>
        <v>65</v>
      </c>
      <c r="C39" s="389">
        <f t="shared" si="4"/>
        <v>16</v>
      </c>
      <c r="D39" s="389">
        <f t="shared" si="4"/>
        <v>427</v>
      </c>
      <c r="E39" s="389">
        <f t="shared" si="4"/>
        <v>273</v>
      </c>
      <c r="F39" s="390">
        <f t="shared" si="4"/>
        <v>781</v>
      </c>
      <c r="G39" s="350">
        <f t="shared" si="4"/>
        <v>35</v>
      </c>
      <c r="H39" s="349"/>
      <c r="I39" s="352">
        <f>SUM(I6:I19)</f>
        <v>816</v>
      </c>
      <c r="K39" s="544"/>
      <c r="L39" s="544"/>
      <c r="N39" s="544"/>
    </row>
    <row r="40" spans="1:14" ht="13">
      <c r="A40" s="124" t="s">
        <v>119</v>
      </c>
      <c r="B40" s="349">
        <f t="shared" ref="B40:I40" si="5">SUM(B20:B33)</f>
        <v>0</v>
      </c>
      <c r="C40" s="350">
        <f t="shared" si="5"/>
        <v>0</v>
      </c>
      <c r="D40" s="350">
        <f t="shared" si="5"/>
        <v>2</v>
      </c>
      <c r="E40" s="350">
        <f t="shared" si="5"/>
        <v>21</v>
      </c>
      <c r="F40" s="351">
        <f t="shared" si="5"/>
        <v>23</v>
      </c>
      <c r="G40" s="350">
        <f t="shared" si="5"/>
        <v>10</v>
      </c>
      <c r="H40" s="352"/>
      <c r="I40" s="352">
        <f t="shared" si="5"/>
        <v>33</v>
      </c>
      <c r="K40" s="544"/>
      <c r="L40" s="544"/>
      <c r="N40" s="544"/>
    </row>
    <row r="41" spans="1:14" ht="13.5" thickBot="1">
      <c r="A41" s="176" t="s">
        <v>85</v>
      </c>
      <c r="B41" s="353">
        <f t="shared" ref="B41:I41" si="6">SUM(B34:B36)</f>
        <v>0</v>
      </c>
      <c r="C41" s="354">
        <f t="shared" si="6"/>
        <v>0</v>
      </c>
      <c r="D41" s="354">
        <f t="shared" si="6"/>
        <v>0</v>
      </c>
      <c r="E41" s="354">
        <f t="shared" si="6"/>
        <v>0</v>
      </c>
      <c r="F41" s="355">
        <f t="shared" si="6"/>
        <v>0</v>
      </c>
      <c r="G41" s="354">
        <f t="shared" si="6"/>
        <v>0</v>
      </c>
      <c r="H41" s="356"/>
      <c r="I41" s="356">
        <f t="shared" si="6"/>
        <v>0</v>
      </c>
      <c r="K41" s="544"/>
      <c r="L41" s="544"/>
      <c r="N41" s="544"/>
    </row>
    <row r="42" spans="1:14" ht="13">
      <c r="A42" s="121"/>
      <c r="B42" s="241"/>
      <c r="C42" s="241"/>
      <c r="D42" s="241"/>
      <c r="E42" s="241"/>
      <c r="F42" s="241"/>
      <c r="G42" s="241"/>
      <c r="H42" s="241"/>
      <c r="I42" s="426"/>
    </row>
    <row r="43" spans="1:14" ht="13">
      <c r="A43" s="29" t="s">
        <v>271</v>
      </c>
      <c r="B43" s="12"/>
      <c r="C43" s="12"/>
      <c r="D43" s="12"/>
      <c r="E43" s="12"/>
      <c r="F43" s="12"/>
      <c r="G43" s="12"/>
      <c r="H43" s="12"/>
      <c r="I43" s="443"/>
    </row>
    <row r="44" spans="1:14" ht="13">
      <c r="A44" s="29"/>
      <c r="B44" s="415" t="s">
        <v>347</v>
      </c>
      <c r="C44" s="12"/>
      <c r="D44" s="12"/>
      <c r="E44" s="12"/>
      <c r="F44" s="12"/>
      <c r="G44" s="12"/>
      <c r="H44" s="12"/>
      <c r="I44" s="443"/>
    </row>
    <row r="45" spans="1:14" ht="13.5" thickBot="1">
      <c r="A45" s="72"/>
      <c r="B45" s="432" t="s">
        <v>270</v>
      </c>
      <c r="C45" s="28"/>
      <c r="D45" s="28"/>
      <c r="E45" s="28"/>
      <c r="F45" s="28"/>
      <c r="G45" s="28"/>
      <c r="H45" s="28"/>
      <c r="I45" s="427"/>
    </row>
    <row r="46" spans="1:14" ht="13">
      <c r="A46" s="120"/>
      <c r="I46" s="175"/>
    </row>
    <row r="47" spans="1:14" ht="13">
      <c r="A47" s="261" t="s">
        <v>86</v>
      </c>
      <c r="B47" s="18">
        <f>SUM(B39:B41)-B38</f>
        <v>0</v>
      </c>
      <c r="C47" s="18">
        <f t="shared" ref="C47:I47" si="7">SUM(C39:C41)-C38</f>
        <v>0</v>
      </c>
      <c r="D47" s="18">
        <f t="shared" si="7"/>
        <v>0</v>
      </c>
      <c r="E47" s="18">
        <f t="shared" si="7"/>
        <v>0</v>
      </c>
      <c r="F47" s="18">
        <f t="shared" si="7"/>
        <v>0</v>
      </c>
      <c r="G47" s="18">
        <f t="shared" si="7"/>
        <v>0</v>
      </c>
      <c r="H47" s="18">
        <f t="shared" si="7"/>
        <v>0</v>
      </c>
      <c r="I47" s="18">
        <f t="shared" si="7"/>
        <v>0</v>
      </c>
    </row>
    <row r="48" spans="1:14" ht="13">
      <c r="A48" s="21"/>
    </row>
    <row r="49" spans="1:9" ht="13">
      <c r="A49" s="21"/>
    </row>
    <row r="50" spans="1:9" ht="13">
      <c r="A50" s="21"/>
      <c r="B50" s="297"/>
      <c r="C50" s="297"/>
      <c r="D50" s="297"/>
      <c r="E50" s="297"/>
      <c r="F50" s="297"/>
      <c r="G50" s="297"/>
      <c r="H50" s="297"/>
      <c r="I50" s="297"/>
    </row>
    <row r="51" spans="1:9" ht="13">
      <c r="A51" s="21"/>
      <c r="B51" s="31"/>
      <c r="C51" s="31"/>
      <c r="D51" s="31"/>
      <c r="E51" s="31"/>
      <c r="F51" s="31"/>
      <c r="G51" s="31"/>
      <c r="H51" s="31"/>
      <c r="I51" s="31"/>
    </row>
    <row r="52" spans="1:9" ht="13">
      <c r="A52" s="21"/>
    </row>
    <row r="53" spans="1:9" ht="13">
      <c r="A53" s="21"/>
    </row>
    <row r="54" spans="1:9" ht="13">
      <c r="A54" s="21"/>
    </row>
    <row r="55" spans="1:9" ht="13">
      <c r="A55" s="21"/>
    </row>
    <row r="56" spans="1:9" ht="13">
      <c r="A56" s="21"/>
    </row>
    <row r="57" spans="1:9" ht="13">
      <c r="A57" s="21"/>
    </row>
    <row r="58" spans="1:9" ht="13">
      <c r="A58" s="21"/>
    </row>
    <row r="59" spans="1:9" ht="13">
      <c r="A59" s="21"/>
    </row>
    <row r="60" spans="1:9" ht="13">
      <c r="A60" s="21"/>
    </row>
    <row r="61" spans="1:9" ht="13">
      <c r="A61" s="21"/>
    </row>
    <row r="62" spans="1:9" ht="13">
      <c r="A62" s="21"/>
    </row>
    <row r="63" spans="1:9" ht="13">
      <c r="A63" s="21"/>
    </row>
    <row r="64" spans="1:9" ht="13">
      <c r="A64" s="21"/>
    </row>
    <row r="65" spans="1:1" ht="13">
      <c r="A65" s="21"/>
    </row>
    <row r="66" spans="1:1" ht="13">
      <c r="A66" s="21"/>
    </row>
    <row r="67" spans="1:1" ht="13">
      <c r="A67" s="21"/>
    </row>
    <row r="68" spans="1:1" ht="13">
      <c r="A68" s="21"/>
    </row>
    <row r="69" spans="1:1" ht="13">
      <c r="A69" s="21"/>
    </row>
    <row r="70" spans="1:1" ht="13">
      <c r="A70" s="21"/>
    </row>
    <row r="71" spans="1:1" ht="13">
      <c r="A71" s="21"/>
    </row>
    <row r="72" spans="1:1" ht="13">
      <c r="A72" s="21"/>
    </row>
    <row r="73" spans="1:1" ht="13">
      <c r="A73" s="21"/>
    </row>
    <row r="74" spans="1:1" ht="13">
      <c r="A74" s="21"/>
    </row>
    <row r="75" spans="1:1" ht="13">
      <c r="A75" s="21"/>
    </row>
    <row r="76" spans="1:1" ht="13">
      <c r="A76" s="21"/>
    </row>
    <row r="77" spans="1:1" ht="13">
      <c r="A77" s="21"/>
    </row>
    <row r="78" spans="1:1" ht="13">
      <c r="A78" s="21"/>
    </row>
    <row r="79" spans="1:1" ht="13">
      <c r="A79" s="21"/>
    </row>
    <row r="80" spans="1:1" ht="13">
      <c r="A80" s="21"/>
    </row>
    <row r="81" spans="1:1" ht="13">
      <c r="A81" s="21"/>
    </row>
    <row r="82" spans="1:1" ht="13">
      <c r="A82" s="21"/>
    </row>
    <row r="83" spans="1:1" ht="13">
      <c r="A83" s="21"/>
    </row>
    <row r="84" spans="1:1" ht="13">
      <c r="A84" s="21"/>
    </row>
    <row r="85" spans="1:1" ht="13">
      <c r="A85" s="21"/>
    </row>
    <row r="86" spans="1:1" ht="13">
      <c r="A86" s="21"/>
    </row>
    <row r="87" spans="1:1" ht="13">
      <c r="A87" s="21"/>
    </row>
    <row r="88" spans="1:1" ht="13">
      <c r="A88" s="21"/>
    </row>
    <row r="89" spans="1:1" ht="13">
      <c r="A89" s="21"/>
    </row>
    <row r="90" spans="1:1" ht="13">
      <c r="A90" s="21"/>
    </row>
    <row r="91" spans="1:1" ht="13">
      <c r="A91" s="21"/>
    </row>
    <row r="92" spans="1:1" ht="13">
      <c r="A92" s="21"/>
    </row>
    <row r="93" spans="1:1" ht="13">
      <c r="A93" s="21"/>
    </row>
    <row r="94" spans="1:1" ht="13">
      <c r="A94" s="21"/>
    </row>
    <row r="95" spans="1:1" ht="13">
      <c r="A95" s="21"/>
    </row>
    <row r="96" spans="1:1" ht="13">
      <c r="A96" s="21"/>
    </row>
    <row r="97" spans="1:1" ht="13">
      <c r="A97" s="21"/>
    </row>
    <row r="98" spans="1:1" ht="13">
      <c r="A98" s="21"/>
    </row>
    <row r="99" spans="1:1" ht="13">
      <c r="A99" s="21"/>
    </row>
    <row r="100" spans="1:1" ht="13">
      <c r="A100" s="21"/>
    </row>
    <row r="101" spans="1:1" ht="13">
      <c r="A101" s="21"/>
    </row>
    <row r="102" spans="1:1" ht="13">
      <c r="A102" s="21"/>
    </row>
    <row r="103" spans="1:1" ht="13">
      <c r="A103" s="21"/>
    </row>
    <row r="104" spans="1:1" ht="13">
      <c r="A104" s="21"/>
    </row>
    <row r="105" spans="1:1" ht="13">
      <c r="A105" s="21"/>
    </row>
    <row r="106" spans="1:1" ht="13">
      <c r="A106" s="21"/>
    </row>
    <row r="107" spans="1:1" ht="13">
      <c r="A107" s="21"/>
    </row>
    <row r="108" spans="1:1" ht="13">
      <c r="A108" s="21"/>
    </row>
    <row r="109" spans="1:1" ht="13">
      <c r="A109" s="21"/>
    </row>
    <row r="110" spans="1:1" ht="13">
      <c r="A110" s="21"/>
    </row>
    <row r="111" spans="1:1" ht="13">
      <c r="A111" s="21"/>
    </row>
    <row r="112" spans="1:1" ht="13">
      <c r="A112" s="21"/>
    </row>
    <row r="113" spans="1:1" ht="13">
      <c r="A113" s="21"/>
    </row>
    <row r="114" spans="1:1" ht="13">
      <c r="A114" s="21"/>
    </row>
    <row r="115" spans="1:1" ht="13">
      <c r="A115" s="21"/>
    </row>
    <row r="116" spans="1:1" ht="13">
      <c r="A116" s="21"/>
    </row>
    <row r="117" spans="1:1" ht="13">
      <c r="A117" s="21"/>
    </row>
    <row r="118" spans="1:1" ht="13">
      <c r="A118" s="21"/>
    </row>
    <row r="119" spans="1:1" ht="13">
      <c r="A119" s="21"/>
    </row>
    <row r="120" spans="1:1" ht="13">
      <c r="A120" s="21"/>
    </row>
    <row r="121" spans="1:1" ht="13">
      <c r="A121" s="21"/>
    </row>
    <row r="122" spans="1:1" ht="13">
      <c r="A122" s="21"/>
    </row>
    <row r="123" spans="1:1" ht="13">
      <c r="A123" s="21"/>
    </row>
    <row r="124" spans="1:1" ht="13">
      <c r="A124" s="21"/>
    </row>
    <row r="125" spans="1:1" ht="13">
      <c r="A125" s="21"/>
    </row>
    <row r="126" spans="1:1" ht="13">
      <c r="A126" s="21"/>
    </row>
    <row r="127" spans="1:1" ht="13">
      <c r="A127" s="21"/>
    </row>
    <row r="128" spans="1:1" ht="13">
      <c r="A128" s="21"/>
    </row>
    <row r="129" spans="1:1" ht="13">
      <c r="A129" s="21"/>
    </row>
    <row r="130" spans="1:1" ht="13">
      <c r="A130" s="21"/>
    </row>
    <row r="131" spans="1:1" ht="13">
      <c r="A131" s="21"/>
    </row>
    <row r="132" spans="1:1" ht="13">
      <c r="A132" s="21"/>
    </row>
    <row r="133" spans="1:1" ht="13">
      <c r="A133" s="21"/>
    </row>
    <row r="134" spans="1:1" ht="13">
      <c r="A134" s="21"/>
    </row>
    <row r="135" spans="1:1" ht="13">
      <c r="A135" s="21"/>
    </row>
    <row r="136" spans="1:1" ht="13">
      <c r="A136" s="21"/>
    </row>
    <row r="137" spans="1:1" ht="13">
      <c r="A137" s="21"/>
    </row>
    <row r="138" spans="1:1" ht="13">
      <c r="A138" s="21"/>
    </row>
    <row r="139" spans="1:1" ht="13">
      <c r="A139" s="21"/>
    </row>
    <row r="140" spans="1:1" ht="13">
      <c r="A140" s="21"/>
    </row>
    <row r="141" spans="1:1" ht="13">
      <c r="A141" s="21"/>
    </row>
    <row r="142" spans="1:1" ht="13">
      <c r="A142" s="21"/>
    </row>
    <row r="143" spans="1:1" ht="13">
      <c r="A143" s="21"/>
    </row>
    <row r="144" spans="1:1" ht="13">
      <c r="A144" s="21"/>
    </row>
    <row r="145" spans="1:1" ht="13">
      <c r="A145" s="21"/>
    </row>
    <row r="146" spans="1:1" ht="13">
      <c r="A146" s="21"/>
    </row>
    <row r="147" spans="1:1" ht="13">
      <c r="A147" s="21"/>
    </row>
    <row r="148" spans="1:1" ht="13">
      <c r="A148" s="21"/>
    </row>
    <row r="149" spans="1:1" ht="13">
      <c r="A149" s="21"/>
    </row>
    <row r="150" spans="1:1" ht="13">
      <c r="A150" s="21"/>
    </row>
    <row r="151" spans="1:1" ht="13">
      <c r="A151" s="21"/>
    </row>
    <row r="152" spans="1:1" ht="13">
      <c r="A152" s="21"/>
    </row>
    <row r="153" spans="1:1" ht="13">
      <c r="A153" s="21"/>
    </row>
    <row r="154" spans="1:1" ht="13">
      <c r="A154" s="21"/>
    </row>
    <row r="155" spans="1:1" ht="13">
      <c r="A155" s="21"/>
    </row>
    <row r="156" spans="1:1" ht="13">
      <c r="A156" s="21"/>
    </row>
    <row r="157" spans="1:1" ht="13">
      <c r="A157" s="21"/>
    </row>
    <row r="158" spans="1:1" ht="13">
      <c r="A158" s="21"/>
    </row>
    <row r="159" spans="1:1" ht="13">
      <c r="A159" s="21"/>
    </row>
    <row r="160" spans="1:1" ht="13">
      <c r="A160" s="21"/>
    </row>
    <row r="161" spans="1:1" ht="13">
      <c r="A161" s="21"/>
    </row>
    <row r="162" spans="1:1" ht="13">
      <c r="A162" s="21"/>
    </row>
    <row r="163" spans="1:1" ht="13">
      <c r="A163" s="21"/>
    </row>
    <row r="164" spans="1:1" ht="13">
      <c r="A164" s="21"/>
    </row>
    <row r="165" spans="1:1" ht="13">
      <c r="A165" s="21"/>
    </row>
    <row r="166" spans="1:1" ht="13">
      <c r="A166" s="21"/>
    </row>
    <row r="167" spans="1:1" ht="13">
      <c r="A167" s="21"/>
    </row>
    <row r="168" spans="1:1" ht="13">
      <c r="A168" s="21"/>
    </row>
    <row r="169" spans="1:1" ht="13">
      <c r="A169" s="21"/>
    </row>
    <row r="170" spans="1:1" ht="13">
      <c r="A170" s="21"/>
    </row>
    <row r="171" spans="1:1" ht="13">
      <c r="A171" s="21"/>
    </row>
    <row r="172" spans="1:1" ht="13">
      <c r="A172" s="21"/>
    </row>
    <row r="173" spans="1:1" ht="13">
      <c r="A173" s="21"/>
    </row>
    <row r="174" spans="1:1" ht="13">
      <c r="A174" s="21"/>
    </row>
    <row r="175" spans="1:1" ht="13">
      <c r="A175" s="21"/>
    </row>
    <row r="176" spans="1:1" ht="13">
      <c r="A176" s="21"/>
    </row>
    <row r="177" spans="1:1" ht="13">
      <c r="A177" s="21"/>
    </row>
    <row r="178" spans="1:1" ht="13">
      <c r="A178" s="21"/>
    </row>
    <row r="179" spans="1:1" ht="13">
      <c r="A179" s="21"/>
    </row>
    <row r="180" spans="1:1" ht="13">
      <c r="A180" s="21"/>
    </row>
    <row r="181" spans="1:1" ht="13">
      <c r="A181" s="21"/>
    </row>
    <row r="182" spans="1:1" ht="13">
      <c r="A182" s="21"/>
    </row>
    <row r="183" spans="1:1" ht="13">
      <c r="A183" s="21"/>
    </row>
    <row r="184" spans="1:1" ht="13">
      <c r="A184" s="21"/>
    </row>
    <row r="185" spans="1:1" ht="13">
      <c r="A185" s="21"/>
    </row>
    <row r="186" spans="1:1" ht="13">
      <c r="A186" s="21"/>
    </row>
    <row r="187" spans="1:1" ht="13">
      <c r="A187" s="21"/>
    </row>
    <row r="188" spans="1:1" ht="13">
      <c r="A188" s="21"/>
    </row>
    <row r="189" spans="1:1" ht="13">
      <c r="A189" s="21"/>
    </row>
    <row r="190" spans="1:1" ht="13">
      <c r="A190" s="21"/>
    </row>
    <row r="191" spans="1:1" ht="13">
      <c r="A191" s="21"/>
    </row>
    <row r="192" spans="1:1" ht="13">
      <c r="A192" s="21"/>
    </row>
    <row r="193" spans="1:1" ht="13">
      <c r="A193" s="21"/>
    </row>
    <row r="194" spans="1:1" ht="13">
      <c r="A194" s="21"/>
    </row>
    <row r="195" spans="1:1" ht="13">
      <c r="A195" s="21"/>
    </row>
    <row r="196" spans="1:1" ht="13">
      <c r="A196" s="21"/>
    </row>
    <row r="197" spans="1:1" ht="13">
      <c r="A197" s="21"/>
    </row>
    <row r="198" spans="1:1" ht="13">
      <c r="A198" s="21"/>
    </row>
    <row r="199" spans="1:1" ht="13">
      <c r="A199" s="21"/>
    </row>
    <row r="200" spans="1:1" ht="13">
      <c r="A200" s="21"/>
    </row>
    <row r="201" spans="1:1" ht="13">
      <c r="A201" s="21"/>
    </row>
    <row r="202" spans="1:1" ht="13">
      <c r="A202" s="21"/>
    </row>
    <row r="203" spans="1:1" ht="13">
      <c r="A203" s="21"/>
    </row>
    <row r="204" spans="1:1" ht="13">
      <c r="A204" s="21"/>
    </row>
    <row r="205" spans="1:1" ht="13">
      <c r="A205" s="21"/>
    </row>
    <row r="206" spans="1:1" ht="13">
      <c r="A206" s="21"/>
    </row>
    <row r="207" spans="1:1" ht="13">
      <c r="A207" s="21"/>
    </row>
    <row r="208" spans="1:1" ht="13">
      <c r="A208" s="21"/>
    </row>
    <row r="209" spans="1:1" ht="13">
      <c r="A209" s="21"/>
    </row>
    <row r="210" spans="1:1" ht="13">
      <c r="A210" s="21"/>
    </row>
    <row r="211" spans="1:1" ht="13">
      <c r="A211" s="21"/>
    </row>
    <row r="212" spans="1:1" ht="13">
      <c r="A212" s="21"/>
    </row>
    <row r="213" spans="1:1" ht="13">
      <c r="A213" s="21"/>
    </row>
    <row r="214" spans="1:1" ht="13">
      <c r="A214" s="21"/>
    </row>
    <row r="215" spans="1:1" ht="13">
      <c r="A215" s="21"/>
    </row>
    <row r="216" spans="1:1" ht="13">
      <c r="A216" s="21"/>
    </row>
    <row r="217" spans="1:1" ht="13">
      <c r="A217" s="21"/>
    </row>
    <row r="218" spans="1:1" ht="13">
      <c r="A218" s="21"/>
    </row>
    <row r="219" spans="1:1" ht="13">
      <c r="A219" s="21"/>
    </row>
    <row r="220" spans="1:1" ht="13">
      <c r="A220" s="21"/>
    </row>
    <row r="221" spans="1:1" ht="13">
      <c r="A221" s="21"/>
    </row>
    <row r="222" spans="1:1" ht="13">
      <c r="A222" s="21"/>
    </row>
    <row r="223" spans="1:1" ht="13">
      <c r="A223" s="21"/>
    </row>
    <row r="224" spans="1:1" ht="13">
      <c r="A224" s="21"/>
    </row>
    <row r="225" spans="1:1" ht="13">
      <c r="A225" s="21"/>
    </row>
    <row r="226" spans="1:1" ht="13">
      <c r="A226" s="21"/>
    </row>
    <row r="227" spans="1:1" ht="13">
      <c r="A227" s="21"/>
    </row>
  </sheetData>
  <mergeCells count="2">
    <mergeCell ref="A1:I1"/>
    <mergeCell ref="B2:F2"/>
  </mergeCells>
  <printOptions horizontalCentered="1"/>
  <pageMargins left="0.75" right="0.75" top="1" bottom="1" header="0.5" footer="0.5"/>
  <pageSetup scale="74" orientation="portrait" r:id="rId1"/>
  <headerFooter alignWithMargins="0">
    <oddFooter>&amp;L&amp;F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9" tint="-0.499984740745262"/>
    <pageSetUpPr fitToPage="1"/>
  </sheetPr>
  <dimension ref="A1:AB100"/>
  <sheetViews>
    <sheetView zoomScale="85" zoomScaleNormal="85" workbookViewId="0">
      <selection activeCell="F13" sqref="F13"/>
    </sheetView>
  </sheetViews>
  <sheetFormatPr defaultRowHeight="12.5"/>
  <cols>
    <col min="1" max="1" width="18.26953125" customWidth="1"/>
    <col min="2" max="2" width="1.54296875" style="143" customWidth="1"/>
    <col min="3" max="12" width="14.26953125" style="50" customWidth="1"/>
    <col min="13" max="13" width="14" style="50" customWidth="1"/>
    <col min="14" max="14" width="1.81640625" style="143" customWidth="1"/>
    <col min="15" max="15" width="13.81640625" style="50" hidden="1" customWidth="1"/>
    <col min="16" max="16" width="10.54296875" bestFit="1" customWidth="1"/>
    <col min="17" max="17" width="13.26953125" bestFit="1" customWidth="1"/>
    <col min="18" max="18" width="10.54296875" bestFit="1" customWidth="1"/>
    <col min="19" max="19" width="9.54296875" bestFit="1" customWidth="1"/>
    <col min="20" max="20" width="9.26953125" bestFit="1" customWidth="1"/>
    <col min="21" max="21" width="11.54296875" bestFit="1" customWidth="1"/>
    <col min="22" max="22" width="9.54296875" bestFit="1" customWidth="1"/>
    <col min="23" max="23" width="10.54296875" bestFit="1" customWidth="1"/>
    <col min="24" max="24" width="9.26953125" bestFit="1" customWidth="1"/>
    <col min="25" max="25" width="9.54296875" bestFit="1" customWidth="1"/>
    <col min="26" max="26" width="13.1796875" bestFit="1" customWidth="1"/>
    <col min="27" max="27" width="10.54296875" bestFit="1" customWidth="1"/>
  </cols>
  <sheetData>
    <row r="1" spans="1:28" ht="13.5" thickBot="1">
      <c r="B1" s="23"/>
      <c r="C1" s="732" t="s">
        <v>170</v>
      </c>
      <c r="D1" s="733"/>
      <c r="E1" s="733"/>
      <c r="F1" s="733"/>
      <c r="G1" s="733"/>
      <c r="H1" s="733"/>
      <c r="I1" s="733"/>
      <c r="J1" s="733"/>
      <c r="K1" s="733"/>
      <c r="L1" s="733"/>
      <c r="M1" s="734"/>
      <c r="P1" s="275" t="s">
        <v>86</v>
      </c>
      <c r="Q1" s="46" t="s">
        <v>161</v>
      </c>
    </row>
    <row r="2" spans="1:28" ht="39">
      <c r="B2" s="23"/>
      <c r="C2" s="154" t="s">
        <v>28</v>
      </c>
      <c r="D2" s="154"/>
      <c r="E2" s="154"/>
      <c r="F2" s="154"/>
      <c r="G2" s="154"/>
      <c r="H2" s="154"/>
      <c r="I2" s="154"/>
      <c r="J2" s="154"/>
      <c r="K2" s="154"/>
      <c r="L2" s="154"/>
      <c r="M2" s="455" t="s">
        <v>206</v>
      </c>
      <c r="Q2" s="511" t="s">
        <v>28</v>
      </c>
      <c r="R2" s="512" t="s">
        <v>29</v>
      </c>
      <c r="S2" s="512" t="s">
        <v>30</v>
      </c>
      <c r="T2" s="512" t="s">
        <v>31</v>
      </c>
      <c r="U2" s="513" t="s">
        <v>68</v>
      </c>
      <c r="V2" s="514" t="s">
        <v>66</v>
      </c>
      <c r="W2" s="514" t="s">
        <v>287</v>
      </c>
      <c r="X2" s="514" t="s">
        <v>67</v>
      </c>
      <c r="Y2" s="514" t="s">
        <v>89</v>
      </c>
      <c r="Z2" s="514" t="s">
        <v>88</v>
      </c>
      <c r="AA2" s="515" t="s">
        <v>2</v>
      </c>
    </row>
    <row r="3" spans="1:28" ht="13.5" thickBot="1">
      <c r="A3" s="46" t="s">
        <v>2</v>
      </c>
      <c r="C3" s="312">
        <f>'Resid Cust Cost Summary'!B36</f>
        <v>213.36323570765867</v>
      </c>
      <c r="D3" s="312"/>
      <c r="E3" s="312"/>
      <c r="F3" s="312"/>
      <c r="G3" s="312"/>
      <c r="H3" s="312"/>
      <c r="I3" s="312"/>
      <c r="J3" s="312"/>
      <c r="K3" s="312"/>
      <c r="L3" s="312"/>
      <c r="M3" s="312">
        <f>(C3*Q3+D3*R3+E3*S3+F3*T3+G3*U3+H3*V3+I3*W3+J3*X3+K3*Y3+L3*Z3)/AA3</f>
        <v>213.36323570765867</v>
      </c>
      <c r="P3" s="522">
        <f>M3-'Resid Cust Cost Summary'!L36</f>
        <v>0</v>
      </c>
      <c r="Q3" s="509">
        <f>'Resid Cust Fcst '!H40</f>
        <v>1</v>
      </c>
      <c r="R3" s="421">
        <f>'Resid Cust Fcst '!O40</f>
        <v>0</v>
      </c>
      <c r="S3" s="421">
        <f>'Resid Cust Fcst '!V40</f>
        <v>0</v>
      </c>
      <c r="T3" s="421">
        <f>'Resid Cust Fcst '!AC40</f>
        <v>0</v>
      </c>
      <c r="U3" s="421">
        <f>'Resid Cust Fcst '!AJ40</f>
        <v>0</v>
      </c>
      <c r="V3" s="421">
        <f>'Resid Cust Fcst '!AQ40</f>
        <v>0</v>
      </c>
      <c r="W3" s="28">
        <f>'Resid Cust Fcst '!AX40</f>
        <v>0</v>
      </c>
      <c r="X3" s="421">
        <f>'Resid Cust Fcst '!BE40</f>
        <v>0</v>
      </c>
      <c r="Y3" s="421">
        <f>'Resid Cust Fcst '!BL40</f>
        <v>0</v>
      </c>
      <c r="Z3" s="421">
        <f>'Resid Cust Fcst '!BS40</f>
        <v>0</v>
      </c>
      <c r="AA3" s="510">
        <f>SUM(Q3:Z3)</f>
        <v>1</v>
      </c>
      <c r="AB3" s="392"/>
    </row>
    <row r="4" spans="1:28" ht="13"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P4" s="300"/>
      <c r="Q4" s="50"/>
      <c r="R4" s="50"/>
      <c r="S4" s="50"/>
      <c r="T4" s="50"/>
      <c r="U4" s="50"/>
      <c r="V4" s="50"/>
      <c r="W4" s="50"/>
      <c r="X4" s="50"/>
      <c r="Y4" s="50"/>
      <c r="Z4" s="50"/>
    </row>
    <row r="5" spans="1:28" ht="13"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P5" s="300"/>
      <c r="Q5" s="50"/>
      <c r="R5" s="50"/>
      <c r="S5" s="50"/>
      <c r="T5" s="50"/>
      <c r="U5" s="50"/>
      <c r="V5" s="50"/>
      <c r="W5" s="50"/>
      <c r="X5" s="50"/>
      <c r="Y5" s="50"/>
      <c r="Z5" s="50"/>
    </row>
    <row r="6" spans="1:28" ht="13.5" thickBot="1">
      <c r="B6" s="23"/>
      <c r="C6" s="727" t="s">
        <v>74</v>
      </c>
      <c r="D6" s="728"/>
      <c r="E6" s="728"/>
      <c r="F6" s="728"/>
      <c r="G6" s="728"/>
      <c r="H6" s="728"/>
      <c r="I6" s="728"/>
      <c r="J6" s="728"/>
      <c r="K6" s="728"/>
      <c r="L6" s="728"/>
      <c r="M6" s="729"/>
      <c r="P6" s="300"/>
      <c r="Q6" s="309" t="s">
        <v>161</v>
      </c>
      <c r="R6" s="50"/>
      <c r="S6" s="50"/>
      <c r="T6" s="50"/>
      <c r="U6" s="50"/>
      <c r="V6" s="50"/>
      <c r="W6" s="50"/>
      <c r="X6" s="50"/>
      <c r="Y6" s="50"/>
      <c r="Z6" s="50"/>
    </row>
    <row r="7" spans="1:28" ht="39">
      <c r="B7" s="23"/>
      <c r="C7" s="313" t="s">
        <v>316</v>
      </c>
      <c r="D7" s="313"/>
      <c r="E7" s="313" t="s">
        <v>428</v>
      </c>
      <c r="F7" s="313"/>
      <c r="G7" s="313"/>
      <c r="H7" s="313"/>
      <c r="I7" s="313"/>
      <c r="J7" s="313"/>
      <c r="K7" s="313"/>
      <c r="L7" s="313"/>
      <c r="M7" s="456" t="s">
        <v>206</v>
      </c>
      <c r="P7" s="300"/>
      <c r="Q7" s="500" t="s">
        <v>316</v>
      </c>
      <c r="R7" s="501" t="s">
        <v>69</v>
      </c>
      <c r="S7" s="501" t="s">
        <v>428</v>
      </c>
      <c r="T7" s="501" t="s">
        <v>71</v>
      </c>
      <c r="U7" s="502" t="s">
        <v>2</v>
      </c>
      <c r="W7" s="50"/>
      <c r="X7" s="50"/>
      <c r="Y7" s="50"/>
      <c r="Z7" s="50"/>
    </row>
    <row r="8" spans="1:28" ht="13">
      <c r="B8" s="23"/>
      <c r="D8" s="336"/>
      <c r="E8" s="336"/>
      <c r="F8" s="336"/>
      <c r="G8" s="336"/>
      <c r="H8" s="336"/>
      <c r="I8" s="336"/>
      <c r="J8" s="336"/>
      <c r="K8" s="336"/>
      <c r="L8" s="336"/>
      <c r="M8" s="337"/>
      <c r="P8" s="300"/>
      <c r="Q8" s="11"/>
      <c r="R8" s="335"/>
      <c r="S8" s="335"/>
      <c r="T8" s="335"/>
      <c r="U8" s="504"/>
      <c r="W8" s="50"/>
      <c r="X8" s="50"/>
      <c r="Y8" s="50"/>
      <c r="Z8" s="50"/>
    </row>
    <row r="9" spans="1:28" ht="13">
      <c r="A9" s="46" t="s">
        <v>0</v>
      </c>
      <c r="D9" s="312"/>
      <c r="E9" s="312"/>
      <c r="F9" s="312"/>
      <c r="G9" s="312"/>
      <c r="H9" s="312"/>
      <c r="I9" s="312"/>
      <c r="J9" s="312"/>
      <c r="K9" s="312"/>
      <c r="L9" s="312"/>
      <c r="M9" s="312"/>
      <c r="P9" s="300"/>
      <c r="Q9" s="11"/>
      <c r="R9" s="310"/>
      <c r="S9" s="310"/>
      <c r="T9" s="310"/>
      <c r="U9" s="506"/>
      <c r="W9" s="50"/>
      <c r="X9" s="50"/>
      <c r="Y9" s="50"/>
      <c r="Z9" s="50"/>
    </row>
    <row r="10" spans="1:28" ht="13">
      <c r="A10" s="296" t="s">
        <v>163</v>
      </c>
      <c r="C10" s="312">
        <f>'Sch TOU-A Cust Cost Summary'!B37</f>
        <v>207.90737389475314</v>
      </c>
      <c r="D10" s="312"/>
      <c r="E10" s="312">
        <f>'Sch TOU-M Cust Cost Summary'!B37</f>
        <v>0</v>
      </c>
      <c r="F10" s="312"/>
      <c r="G10" s="312"/>
      <c r="H10" s="312"/>
      <c r="I10" s="312"/>
      <c r="J10" s="312"/>
      <c r="K10" s="312"/>
      <c r="L10" s="312"/>
      <c r="M10" s="312">
        <f>(C10*Q10+D10*R10+E10*S10+F10*T10)/U10</f>
        <v>207.90737389475314</v>
      </c>
      <c r="P10" s="548">
        <f>M10-'Sm Comm Cust Cost Summary'!B36</f>
        <v>0</v>
      </c>
      <c r="Q10" s="505">
        <f>'Sm Comm Cust Fcst'!F42</f>
        <v>154</v>
      </c>
      <c r="R10" s="310">
        <f>'Sm Comm Cust Fcst'!M42</f>
        <v>0</v>
      </c>
      <c r="S10" s="310">
        <f>'Sm Comm Cust Fcst'!T42</f>
        <v>0</v>
      </c>
      <c r="T10" s="310">
        <f>'Sm Comm Cust Fcst'!AA42</f>
        <v>0</v>
      </c>
      <c r="U10" s="506">
        <f>SUM(Q10:T10)</f>
        <v>154</v>
      </c>
      <c r="W10" s="50"/>
      <c r="X10" s="50"/>
      <c r="Y10" s="50"/>
      <c r="Z10" s="50"/>
      <c r="AB10" s="392"/>
    </row>
    <row r="11" spans="1:28" ht="13">
      <c r="A11" s="296" t="s">
        <v>162</v>
      </c>
      <c r="C11" s="312">
        <f>'Sch TOU-A Cust Cost Summary'!C37</f>
        <v>354.0562273927585</v>
      </c>
      <c r="D11" s="312"/>
      <c r="E11" s="312">
        <f>'Sch TOU-M Cust Cost Summary'!C37</f>
        <v>0</v>
      </c>
      <c r="F11" s="312"/>
      <c r="G11" s="312"/>
      <c r="H11" s="312"/>
      <c r="I11" s="312"/>
      <c r="J11" s="312"/>
      <c r="K11" s="312"/>
      <c r="L11" s="312"/>
      <c r="M11" s="312">
        <f>(C11*Q11+D11*R11+E11*S11+F11*T11)/U11</f>
        <v>354.0562273927585</v>
      </c>
      <c r="P11" s="549">
        <f>M11-'Sm Comm Cust Cost Summary'!C36</f>
        <v>0</v>
      </c>
      <c r="Q11" s="505">
        <f>'Sm Comm Cust Fcst'!F43</f>
        <v>352</v>
      </c>
      <c r="R11" s="310">
        <f>'Sm Comm Cust Fcst'!M43</f>
        <v>0</v>
      </c>
      <c r="S11" s="310">
        <f>'Sm Comm Cust Fcst'!T43</f>
        <v>0</v>
      </c>
      <c r="T11" s="310">
        <f>'Sm Comm Cust Fcst'!AA43</f>
        <v>0</v>
      </c>
      <c r="U11" s="506">
        <f>SUM(Q11:T11)</f>
        <v>352</v>
      </c>
      <c r="W11" s="50"/>
      <c r="X11" s="50"/>
      <c r="Y11" s="50"/>
      <c r="Z11" s="50"/>
      <c r="AB11" s="392"/>
    </row>
    <row r="12" spans="1:28" ht="13">
      <c r="A12" s="296" t="s">
        <v>164</v>
      </c>
      <c r="C12" s="312">
        <f>'Sch TOU-A Cust Cost Summary'!D37</f>
        <v>806.89287248718642</v>
      </c>
      <c r="D12" s="312"/>
      <c r="E12" s="312">
        <f>'Sch TOU-M Cust Cost Summary'!D37</f>
        <v>1018.2251355682213</v>
      </c>
      <c r="F12" s="312"/>
      <c r="G12" s="312"/>
      <c r="H12" s="312"/>
      <c r="I12" s="312"/>
      <c r="J12" s="312"/>
      <c r="K12" s="312"/>
      <c r="L12" s="312"/>
      <c r="M12" s="312">
        <f>(C12*Q12+D12*R12+E12*S12+F12*T12)/U12</f>
        <v>810.44467522804416</v>
      </c>
      <c r="P12" s="549">
        <f>M12-'Sm Comm Cust Cost Summary'!D36</f>
        <v>0</v>
      </c>
      <c r="Q12" s="505">
        <f>'Sm Comm Cust Fcst'!F44</f>
        <v>117</v>
      </c>
      <c r="R12" s="310">
        <f>'Sm Comm Cust Fcst'!M44</f>
        <v>0</v>
      </c>
      <c r="S12" s="310">
        <f>'Sm Comm Cust Fcst'!T44</f>
        <v>2</v>
      </c>
      <c r="T12" s="310">
        <f>'Sm Comm Cust Fcst'!AA44</f>
        <v>0</v>
      </c>
      <c r="U12" s="506">
        <f>SUM(Q12:T12)</f>
        <v>119</v>
      </c>
      <c r="W12" s="50"/>
      <c r="X12" s="50"/>
      <c r="Y12" s="50"/>
      <c r="Z12" s="50"/>
      <c r="AB12" s="392"/>
    </row>
    <row r="13" spans="1:28" ht="14">
      <c r="A13" s="296" t="s">
        <v>165</v>
      </c>
      <c r="C13" s="312">
        <f>'Sch TOU-A Cust Cost Summary'!E37</f>
        <v>1360.4442217988203</v>
      </c>
      <c r="D13" s="312"/>
      <c r="E13" s="312">
        <f>'Sch TOU-M Cust Cost Summary'!E37</f>
        <v>0</v>
      </c>
      <c r="F13" s="312"/>
      <c r="G13" s="312"/>
      <c r="H13" s="312"/>
      <c r="I13" s="312"/>
      <c r="J13" s="312"/>
      <c r="K13" s="312"/>
      <c r="L13" s="312"/>
      <c r="M13" s="312">
        <f>(C13*Q13+D13*R13+E13*S13+F13*T13)/U13</f>
        <v>1360.4442217988203</v>
      </c>
      <c r="P13" s="549">
        <f>M13-'Sm Comm Cust Cost Summary'!E36</f>
        <v>0</v>
      </c>
      <c r="Q13" s="507">
        <f>'Sm Comm Cust Fcst'!F45</f>
        <v>19</v>
      </c>
      <c r="R13" s="311">
        <f>'Sm Comm Cust Fcst'!M45</f>
        <v>0</v>
      </c>
      <c r="S13" s="311">
        <f>'Sm Comm Cust Fcst'!T45</f>
        <v>0</v>
      </c>
      <c r="T13" s="318">
        <f>'Sm Comm Cust Fcst'!AA45</f>
        <v>0</v>
      </c>
      <c r="U13" s="508">
        <f>SUM(Q13:T13)</f>
        <v>19</v>
      </c>
      <c r="W13" s="50"/>
      <c r="X13" s="50"/>
      <c r="Y13" s="50"/>
      <c r="Z13" s="50"/>
      <c r="AB13" s="392"/>
    </row>
    <row r="14" spans="1:28" ht="13.5" thickBot="1">
      <c r="B14" s="144"/>
      <c r="C14" s="315">
        <f>'Sch TOU-A Cust Cost Summary'!F37</f>
        <v>431.30908709847563</v>
      </c>
      <c r="D14" s="315"/>
      <c r="E14" s="315">
        <f>'Sch TOU-M Cust Cost Summary'!F37</f>
        <v>1018.2251355682213</v>
      </c>
      <c r="F14" s="315"/>
      <c r="G14" s="315"/>
      <c r="H14" s="315"/>
      <c r="I14" s="315"/>
      <c r="J14" s="315"/>
      <c r="K14" s="315"/>
      <c r="L14" s="315"/>
      <c r="M14" s="316">
        <f>(C14*Q14+D14*R14+E14*S14+F14*T14)/U14</f>
        <v>433.13180774589722</v>
      </c>
      <c r="P14" s="549">
        <f>M14-'Sm Comm Cust Cost Summary'!F36</f>
        <v>0</v>
      </c>
      <c r="Q14" s="505">
        <f>'Sm Comm Cust Fcst'!F41</f>
        <v>642</v>
      </c>
      <c r="R14" s="310">
        <f>'Sm Comm Cust Fcst'!M41</f>
        <v>0</v>
      </c>
      <c r="S14" s="310">
        <f>'Sm Comm Cust Fcst'!T41</f>
        <v>2</v>
      </c>
      <c r="T14" s="310">
        <f>'Sm Comm Cust Fcst'!AA41</f>
        <v>0</v>
      </c>
      <c r="U14" s="506">
        <f>SUM(Q14:T14)</f>
        <v>644</v>
      </c>
      <c r="W14" s="50"/>
      <c r="X14" s="50"/>
      <c r="Y14" s="50"/>
      <c r="Z14" s="50"/>
      <c r="AB14" s="392"/>
    </row>
    <row r="15" spans="1:28" ht="13.5" thickTop="1">
      <c r="A15" s="46" t="s">
        <v>1</v>
      </c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P15" s="549"/>
      <c r="Q15" s="505"/>
      <c r="R15" s="310"/>
      <c r="S15" s="310"/>
      <c r="T15" s="310"/>
      <c r="U15" s="506"/>
      <c r="W15" s="50"/>
      <c r="X15" s="50"/>
      <c r="Y15" s="50"/>
      <c r="Z15" s="50"/>
      <c r="AB15" s="392"/>
    </row>
    <row r="16" spans="1:28" ht="13">
      <c r="A16" s="296" t="s">
        <v>163</v>
      </c>
      <c r="C16" s="312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P16" s="549"/>
      <c r="Q16" s="505">
        <f>'Sm Comm Cust Fcst'!G42</f>
        <v>0</v>
      </c>
      <c r="R16" s="310"/>
      <c r="S16" s="310"/>
      <c r="T16" s="310"/>
      <c r="U16" s="506">
        <f>SUM(Q16:T16)</f>
        <v>0</v>
      </c>
      <c r="W16" s="50"/>
      <c r="X16" s="50"/>
      <c r="Y16" s="50"/>
      <c r="Z16" s="50"/>
      <c r="AB16" s="392"/>
    </row>
    <row r="17" spans="1:28" ht="13">
      <c r="A17" s="296" t="s">
        <v>162</v>
      </c>
      <c r="C17" s="312"/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P17" s="549"/>
      <c r="Q17" s="505">
        <f>'Sm Comm Cust Fcst'!G43</f>
        <v>0</v>
      </c>
      <c r="R17" s="310"/>
      <c r="S17" s="310"/>
      <c r="T17" s="310"/>
      <c r="U17" s="506">
        <f>SUM(Q17:T17)</f>
        <v>0</v>
      </c>
      <c r="W17" s="50"/>
      <c r="X17" s="50"/>
      <c r="Y17" s="50"/>
      <c r="Z17" s="50"/>
      <c r="AB17" s="392"/>
    </row>
    <row r="18" spans="1:28" ht="13">
      <c r="A18" s="296" t="s">
        <v>164</v>
      </c>
      <c r="C18" s="312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P18" s="549"/>
      <c r="Q18" s="505">
        <f>'Sm Comm Cust Fcst'!G44</f>
        <v>0</v>
      </c>
      <c r="R18" s="310"/>
      <c r="S18" s="310"/>
      <c r="T18" s="310"/>
      <c r="U18" s="506">
        <f>SUM(Q18:T18)</f>
        <v>0</v>
      </c>
      <c r="W18" s="50"/>
      <c r="X18" s="50"/>
      <c r="Y18" s="50"/>
      <c r="Z18" s="50"/>
      <c r="AB18" s="392"/>
    </row>
    <row r="19" spans="1:28" ht="13">
      <c r="A19" s="296" t="s">
        <v>165</v>
      </c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P19" s="549"/>
      <c r="Q19" s="507">
        <f>'Sm Comm Cust Fcst'!G45</f>
        <v>0</v>
      </c>
      <c r="R19" s="310"/>
      <c r="S19" s="310"/>
      <c r="T19" s="310"/>
      <c r="U19" s="508">
        <f>SUM(Q19:T19)</f>
        <v>0</v>
      </c>
      <c r="W19" s="50"/>
      <c r="X19" s="50"/>
      <c r="Y19" s="50"/>
      <c r="Z19" s="50"/>
      <c r="AB19" s="392"/>
    </row>
    <row r="20" spans="1:28" ht="13.5" thickBot="1">
      <c r="A20" s="139"/>
      <c r="B20" s="144"/>
      <c r="C20" s="315"/>
      <c r="D20" s="315"/>
      <c r="E20" s="315"/>
      <c r="F20" s="315"/>
      <c r="G20" s="315"/>
      <c r="H20" s="315"/>
      <c r="I20" s="315"/>
      <c r="J20" s="315"/>
      <c r="K20" s="315"/>
      <c r="L20" s="315"/>
      <c r="M20" s="316"/>
      <c r="P20" s="549"/>
      <c r="Q20" s="505">
        <f>'Sm Comm Cust Fcst'!G41</f>
        <v>0</v>
      </c>
      <c r="R20" s="310"/>
      <c r="S20" s="310"/>
      <c r="T20" s="310"/>
      <c r="U20" s="506">
        <f>SUM(Q20:T20)</f>
        <v>0</v>
      </c>
      <c r="W20" s="50"/>
      <c r="X20" s="50"/>
      <c r="Y20" s="50"/>
      <c r="Z20" s="50"/>
      <c r="AB20" s="392"/>
    </row>
    <row r="21" spans="1:28" ht="13.5" thickTop="1"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P21" s="370"/>
      <c r="Q21" s="505"/>
      <c r="R21" s="310"/>
      <c r="S21" s="310"/>
      <c r="T21" s="310"/>
      <c r="U21" s="506"/>
      <c r="W21" s="50"/>
      <c r="X21" s="50"/>
      <c r="Y21" s="50"/>
      <c r="Z21" s="50"/>
      <c r="AB21" s="392"/>
    </row>
    <row r="22" spans="1:28" ht="13">
      <c r="A22" s="46" t="s">
        <v>2</v>
      </c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P22" s="370"/>
      <c r="Q22" s="505"/>
      <c r="R22" s="310"/>
      <c r="S22" s="310"/>
      <c r="T22" s="310"/>
      <c r="U22" s="506"/>
      <c r="W22" s="50"/>
      <c r="X22" s="50"/>
      <c r="Y22" s="50"/>
      <c r="Z22" s="50"/>
      <c r="AB22" s="392"/>
    </row>
    <row r="23" spans="1:28" ht="13">
      <c r="A23" s="296" t="s">
        <v>163</v>
      </c>
      <c r="C23" s="312">
        <f>'Sch TOU-A Cust Cost Summary'!L37</f>
        <v>207.90737389475314</v>
      </c>
      <c r="D23" s="312"/>
      <c r="E23" s="312">
        <f>'Sch TOU-M Cust Cost Summary'!L37</f>
        <v>0</v>
      </c>
      <c r="F23" s="312"/>
      <c r="G23" s="312"/>
      <c r="H23" s="312"/>
      <c r="I23" s="312"/>
      <c r="J23" s="312"/>
      <c r="K23" s="312"/>
      <c r="L23" s="312"/>
      <c r="M23" s="312">
        <f>(C23*Q23+D23*R23+E23*S23+F23*T23)/U23</f>
        <v>207.90737389475314</v>
      </c>
      <c r="P23" s="529">
        <f>M23-'Sm Comm Cust Cost Summary'!L36</f>
        <v>0</v>
      </c>
      <c r="Q23" s="505">
        <f t="shared" ref="Q23" si="0">Q16+Q10</f>
        <v>154</v>
      </c>
      <c r="R23" s="310">
        <f t="shared" ref="R23:U26" si="1">R16+R10</f>
        <v>0</v>
      </c>
      <c r="S23" s="310">
        <f t="shared" si="1"/>
        <v>0</v>
      </c>
      <c r="T23" s="310">
        <f t="shared" si="1"/>
        <v>0</v>
      </c>
      <c r="U23" s="506">
        <f t="shared" si="1"/>
        <v>154</v>
      </c>
      <c r="W23" s="50"/>
      <c r="X23" s="50"/>
      <c r="Y23" s="50"/>
      <c r="Z23" s="50"/>
      <c r="AB23" s="392"/>
    </row>
    <row r="24" spans="1:28" ht="13">
      <c r="A24" s="296" t="s">
        <v>162</v>
      </c>
      <c r="C24" s="312">
        <f>'Sch TOU-A Cust Cost Summary'!M37</f>
        <v>354.0562273927585</v>
      </c>
      <c r="D24" s="312"/>
      <c r="E24" s="312">
        <f>'Sch TOU-M Cust Cost Summary'!M37</f>
        <v>0</v>
      </c>
      <c r="F24" s="312"/>
      <c r="G24" s="312"/>
      <c r="H24" s="312"/>
      <c r="I24" s="312"/>
      <c r="J24" s="312"/>
      <c r="K24" s="312"/>
      <c r="L24" s="312"/>
      <c r="M24" s="312">
        <f>(C24*Q24+D24*R24+E24*S24+F24*T24)/U24</f>
        <v>354.0562273927585</v>
      </c>
      <c r="P24" s="529">
        <f>M24-'Sm Comm Cust Cost Summary'!M36</f>
        <v>0</v>
      </c>
      <c r="Q24" s="505">
        <f t="shared" ref="Q24" si="2">Q17+Q11</f>
        <v>352</v>
      </c>
      <c r="R24" s="310">
        <f t="shared" si="1"/>
        <v>0</v>
      </c>
      <c r="S24" s="310">
        <f t="shared" si="1"/>
        <v>0</v>
      </c>
      <c r="T24" s="310">
        <f t="shared" si="1"/>
        <v>0</v>
      </c>
      <c r="U24" s="506">
        <f t="shared" si="1"/>
        <v>352</v>
      </c>
      <c r="W24" s="50"/>
      <c r="X24" s="50"/>
      <c r="Y24" s="50"/>
      <c r="Z24" s="50"/>
      <c r="AB24" s="392"/>
    </row>
    <row r="25" spans="1:28" ht="13">
      <c r="A25" s="296" t="s">
        <v>164</v>
      </c>
      <c r="C25" s="312">
        <f>'Sch TOU-A Cust Cost Summary'!N37</f>
        <v>806.89287248718642</v>
      </c>
      <c r="D25" s="312"/>
      <c r="E25" s="312">
        <f>'Sch TOU-M Cust Cost Summary'!N37</f>
        <v>1018.2251355682213</v>
      </c>
      <c r="F25" s="312"/>
      <c r="G25" s="312"/>
      <c r="H25" s="312"/>
      <c r="I25" s="312"/>
      <c r="J25" s="312"/>
      <c r="K25" s="312"/>
      <c r="L25" s="312"/>
      <c r="M25" s="312">
        <f>(C25*Q25+D25*R25+E25*S25+F25*T25)/U25</f>
        <v>810.44467522804416</v>
      </c>
      <c r="P25" s="529">
        <f>M25-'Sm Comm Cust Cost Summary'!N36</f>
        <v>0</v>
      </c>
      <c r="Q25" s="505">
        <f t="shared" ref="Q25" si="3">Q18+Q12</f>
        <v>117</v>
      </c>
      <c r="R25" s="310">
        <f t="shared" si="1"/>
        <v>0</v>
      </c>
      <c r="S25" s="310">
        <f t="shared" si="1"/>
        <v>2</v>
      </c>
      <c r="T25" s="310">
        <f t="shared" si="1"/>
        <v>0</v>
      </c>
      <c r="U25" s="506">
        <f t="shared" si="1"/>
        <v>119</v>
      </c>
      <c r="W25" s="50"/>
      <c r="X25" s="50"/>
      <c r="Y25" s="50"/>
      <c r="Z25" s="50"/>
      <c r="AB25" s="392"/>
    </row>
    <row r="26" spans="1:28" ht="13">
      <c r="A26" s="296" t="s">
        <v>165</v>
      </c>
      <c r="C26" s="312">
        <f>'Sch TOU-A Cust Cost Summary'!O37</f>
        <v>1360.4442217988203</v>
      </c>
      <c r="D26" s="312"/>
      <c r="E26" s="312">
        <f>'Sch TOU-M Cust Cost Summary'!O37</f>
        <v>0</v>
      </c>
      <c r="F26" s="312"/>
      <c r="G26" s="312"/>
      <c r="H26" s="312"/>
      <c r="I26" s="312"/>
      <c r="J26" s="312"/>
      <c r="K26" s="312"/>
      <c r="L26" s="312"/>
      <c r="M26" s="312">
        <f>(C26*Q26+D26*R26+E26*S26+F26*T26)/U26</f>
        <v>1360.4442217988203</v>
      </c>
      <c r="P26" s="529">
        <f>M26-'Sm Comm Cust Cost Summary'!O36</f>
        <v>0</v>
      </c>
      <c r="Q26" s="507">
        <f t="shared" ref="Q26" si="4">Q19+Q13</f>
        <v>19</v>
      </c>
      <c r="R26" s="311">
        <f t="shared" si="1"/>
        <v>0</v>
      </c>
      <c r="S26" s="311">
        <f t="shared" si="1"/>
        <v>0</v>
      </c>
      <c r="T26" s="311">
        <f t="shared" si="1"/>
        <v>0</v>
      </c>
      <c r="U26" s="508">
        <f t="shared" si="1"/>
        <v>19</v>
      </c>
      <c r="W26" s="50"/>
      <c r="X26" s="50"/>
      <c r="Y26" s="50"/>
      <c r="Z26" s="50"/>
      <c r="AB26" s="392"/>
    </row>
    <row r="27" spans="1:28" ht="13.5" thickBot="1">
      <c r="B27" s="144"/>
      <c r="C27" s="315">
        <f>'Sch TOU-A Cust Cost Summary'!P37</f>
        <v>431.30908709847563</v>
      </c>
      <c r="D27" s="315"/>
      <c r="E27" s="315">
        <f>'Sch TOU-M Cust Cost Summary'!P37</f>
        <v>1018.2251355682213</v>
      </c>
      <c r="F27" s="315"/>
      <c r="G27" s="315"/>
      <c r="H27" s="315"/>
      <c r="I27" s="315"/>
      <c r="J27" s="315"/>
      <c r="K27" s="315"/>
      <c r="L27" s="315"/>
      <c r="M27" s="316">
        <f>(C27*Q27+D27*R27+E27*S27+F27*T27)/U27</f>
        <v>433.13180774589722</v>
      </c>
      <c r="P27" s="529">
        <f>M27-'Sm Comm Cust Cost Summary'!P36</f>
        <v>0</v>
      </c>
      <c r="Q27" s="509">
        <f>SUM(Q23:Q26)</f>
        <v>642</v>
      </c>
      <c r="R27" s="421">
        <f>SUM(R23:R26)</f>
        <v>0</v>
      </c>
      <c r="S27" s="421">
        <f>SUM(S23:S26)</f>
        <v>2</v>
      </c>
      <c r="T27" s="421">
        <f>SUM(T23:T26)</f>
        <v>0</v>
      </c>
      <c r="U27" s="510">
        <f>SUM(U23:U26)</f>
        <v>644</v>
      </c>
      <c r="W27" s="50"/>
      <c r="X27" s="50"/>
      <c r="Y27" s="50"/>
      <c r="Z27" s="50"/>
      <c r="AB27" s="392"/>
    </row>
    <row r="28" spans="1:28" ht="13.5" thickTop="1">
      <c r="A28" s="65"/>
      <c r="C28" s="312"/>
      <c r="D28" s="312"/>
      <c r="E28" s="312"/>
      <c r="F28" s="312"/>
      <c r="G28" s="312"/>
      <c r="H28" s="312"/>
      <c r="I28" s="312"/>
      <c r="J28" s="312"/>
      <c r="K28" s="312"/>
      <c r="L28" s="312"/>
      <c r="M28" s="317"/>
      <c r="P28" s="300"/>
      <c r="Q28" s="310"/>
      <c r="R28" s="310"/>
      <c r="S28" s="310"/>
      <c r="T28" s="310"/>
      <c r="U28" s="310"/>
      <c r="V28" s="50"/>
      <c r="W28" s="50"/>
      <c r="X28" s="50"/>
      <c r="Y28" s="50"/>
      <c r="Z28" s="50"/>
    </row>
    <row r="29" spans="1:28" ht="13">
      <c r="C29" s="312"/>
      <c r="D29" s="312"/>
      <c r="E29" s="312"/>
      <c r="F29" s="312"/>
      <c r="G29" s="312"/>
      <c r="H29" s="312"/>
      <c r="I29" s="312"/>
      <c r="J29" s="312"/>
      <c r="K29" s="312"/>
      <c r="L29" s="312"/>
      <c r="M29" s="312"/>
      <c r="P29" s="30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28" ht="21" customHeight="1">
      <c r="B30" s="23"/>
      <c r="C30" s="727" t="s">
        <v>171</v>
      </c>
      <c r="D30" s="728"/>
      <c r="E30" s="728"/>
      <c r="F30" s="728"/>
      <c r="G30" s="728"/>
      <c r="H30" s="728"/>
      <c r="I30" s="728"/>
      <c r="J30" s="728"/>
      <c r="K30" s="728"/>
      <c r="L30" s="728"/>
      <c r="M30" s="729"/>
      <c r="N30" s="145"/>
      <c r="O30" s="730" t="s">
        <v>56</v>
      </c>
      <c r="P30" s="30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28" ht="39.5" thickBot="1">
      <c r="B31" s="23"/>
      <c r="C31" s="313" t="s">
        <v>72</v>
      </c>
      <c r="D31" s="313" t="s">
        <v>90</v>
      </c>
      <c r="E31" s="313" t="s">
        <v>55</v>
      </c>
      <c r="F31" s="313" t="s">
        <v>125</v>
      </c>
      <c r="G31" s="313"/>
      <c r="H31" s="313"/>
      <c r="I31" s="313"/>
      <c r="J31" s="313"/>
      <c r="K31" s="313"/>
      <c r="L31" s="313"/>
      <c r="M31" s="456" t="s">
        <v>206</v>
      </c>
      <c r="N31" s="23"/>
      <c r="O31" s="731"/>
      <c r="P31" s="30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8" ht="13">
      <c r="B32" s="23"/>
      <c r="C32" s="336"/>
      <c r="D32" s="336"/>
      <c r="E32" s="336"/>
      <c r="F32" s="336"/>
      <c r="G32" s="336"/>
      <c r="H32" s="336"/>
      <c r="I32" s="336"/>
      <c r="J32" s="336"/>
      <c r="K32" s="336"/>
      <c r="L32" s="336"/>
      <c r="M32" s="337"/>
      <c r="N32" s="23"/>
      <c r="O32" s="334"/>
      <c r="P32" s="300"/>
      <c r="Q32" s="500" t="s">
        <v>72</v>
      </c>
      <c r="R32" s="501" t="s">
        <v>158</v>
      </c>
      <c r="S32" s="501" t="s">
        <v>55</v>
      </c>
      <c r="T32" s="501" t="s">
        <v>125</v>
      </c>
      <c r="U32" s="502" t="s">
        <v>2</v>
      </c>
      <c r="W32" s="592"/>
      <c r="X32" s="50"/>
      <c r="Y32" s="50"/>
      <c r="Z32" s="50"/>
    </row>
    <row r="33" spans="1:28" ht="13">
      <c r="A33" s="46" t="s">
        <v>0</v>
      </c>
      <c r="C33" s="312"/>
      <c r="D33" s="312"/>
      <c r="E33" s="312"/>
      <c r="F33" s="312"/>
      <c r="G33" s="312"/>
      <c r="H33" s="312"/>
      <c r="I33" s="312"/>
      <c r="J33" s="312"/>
      <c r="K33" s="312"/>
      <c r="L33" s="312"/>
      <c r="M33" s="312"/>
      <c r="P33" s="300"/>
      <c r="Q33" s="505"/>
      <c r="R33" s="310"/>
      <c r="S33" s="310"/>
      <c r="T33" s="310"/>
      <c r="U33" s="506"/>
      <c r="X33" s="50"/>
      <c r="Y33" s="50"/>
      <c r="Z33" s="50"/>
    </row>
    <row r="34" spans="1:28" ht="13">
      <c r="A34" s="296" t="s">
        <v>157</v>
      </c>
      <c r="C34" s="312">
        <f>'Sch AL-TOU Cust Cost Summary'!B35</f>
        <v>2032.2858793976902</v>
      </c>
      <c r="D34" s="312">
        <f>'Sch DG-R Cust Cost Summary'!B35</f>
        <v>2127.7009159481395</v>
      </c>
      <c r="E34" s="312"/>
      <c r="F34" s="312">
        <f>'Sch OL-TOU Cust Cost Summary'!B35</f>
        <v>2532.7265298917546</v>
      </c>
      <c r="G34" s="312"/>
      <c r="H34" s="312"/>
      <c r="I34" s="312"/>
      <c r="J34" s="312"/>
      <c r="K34" s="312"/>
      <c r="L34" s="312"/>
      <c r="M34" s="312">
        <f>(C34*Q34+D34*R34+S34*E34+T34*F34)/U34</f>
        <v>2044.6838528631226</v>
      </c>
      <c r="P34" s="522">
        <f>M34-'M-L C&amp;I Cust Cost Summary '!B35</f>
        <v>0</v>
      </c>
      <c r="Q34" s="505">
        <f>'Sch AL-TOU Cust Fcst'!F39</f>
        <v>781</v>
      </c>
      <c r="R34" s="310">
        <f>'Sch DG-R Cust Fcst'!F39</f>
        <v>99</v>
      </c>
      <c r="S34" s="310"/>
      <c r="T34" s="310">
        <f>'Sch OL-TOU Cust Fcst'!F39</f>
        <v>3</v>
      </c>
      <c r="U34" s="506">
        <f>SUM(Q34:T34)</f>
        <v>883</v>
      </c>
      <c r="W34" s="296"/>
      <c r="X34" s="50"/>
      <c r="Y34" s="50"/>
      <c r="Z34" s="50"/>
      <c r="AB34" s="392"/>
    </row>
    <row r="35" spans="1:28" ht="13">
      <c r="A35" s="296" t="s">
        <v>155</v>
      </c>
      <c r="C35" s="312">
        <f>'Sch AL-TOU Cust Cost Summary'!C35</f>
        <v>3760.6154804243679</v>
      </c>
      <c r="D35" s="312">
        <f>'Sch DG-R Cust Cost Summary'!C35</f>
        <v>3565.9170504170388</v>
      </c>
      <c r="E35" s="312"/>
      <c r="F35" s="312"/>
      <c r="G35" s="312"/>
      <c r="H35" s="312"/>
      <c r="I35" s="312"/>
      <c r="J35" s="312"/>
      <c r="K35" s="312"/>
      <c r="L35" s="312"/>
      <c r="M35" s="312">
        <f>(C35*Q35+D35*R35+S35*E35+T35*F35)/U35</f>
        <v>3738.1502769619838</v>
      </c>
      <c r="P35" s="522">
        <f>M35-'M-L C&amp;I Cust Cost Summary '!C35</f>
        <v>0</v>
      </c>
      <c r="Q35" s="505">
        <f>'Sch AL-TOU Cust Fcst'!F40</f>
        <v>23</v>
      </c>
      <c r="R35" s="310">
        <f>'Sch DG-R Cust Fcst'!F40</f>
        <v>3</v>
      </c>
      <c r="S35" s="310"/>
      <c r="T35" s="310"/>
      <c r="U35" s="506">
        <f>SUM(Q35:T35)</f>
        <v>26</v>
      </c>
      <c r="W35" s="296"/>
      <c r="X35" s="50"/>
      <c r="Y35" s="50"/>
      <c r="Z35" s="50"/>
      <c r="AB35" s="392"/>
    </row>
    <row r="36" spans="1:28" ht="13">
      <c r="A36" s="296" t="s">
        <v>156</v>
      </c>
      <c r="C36" s="312"/>
      <c r="D36" s="312"/>
      <c r="E36" s="312"/>
      <c r="F36" s="312"/>
      <c r="G36" s="312"/>
      <c r="H36" s="312"/>
      <c r="I36" s="312"/>
      <c r="J36" s="312"/>
      <c r="K36" s="312"/>
      <c r="L36" s="312"/>
      <c r="M36" s="312"/>
      <c r="P36" s="522"/>
      <c r="Q36" s="507"/>
      <c r="R36" s="311"/>
      <c r="S36" s="311"/>
      <c r="T36" s="311"/>
      <c r="U36" s="508"/>
      <c r="X36" s="50"/>
      <c r="Y36" s="50"/>
      <c r="Z36" s="50"/>
      <c r="AB36" s="392"/>
    </row>
    <row r="37" spans="1:28" ht="13.5" thickBot="1">
      <c r="B37" s="144"/>
      <c r="C37" s="315">
        <f>'Sch AL-TOU Cust Cost Summary'!E35</f>
        <v>2081.7281441036771</v>
      </c>
      <c r="D37" s="315">
        <f>'Sch DG-R Cust Cost Summary'!E35</f>
        <v>2170.001390491343</v>
      </c>
      <c r="E37" s="315"/>
      <c r="F37" s="315">
        <f>'Sch OL-TOU Cust Cost Summary'!E35</f>
        <v>2532.7265298917546</v>
      </c>
      <c r="G37" s="315"/>
      <c r="H37" s="315"/>
      <c r="I37" s="315"/>
      <c r="J37" s="315"/>
      <c r="K37" s="315"/>
      <c r="L37" s="315"/>
      <c r="M37" s="316">
        <f>(C37*Q37+D37*R37+T37*F37)/U37</f>
        <v>2093.1218363907024</v>
      </c>
      <c r="N37" s="144"/>
      <c r="O37" s="140">
        <f>SUM(O34:O34)</f>
        <v>0</v>
      </c>
      <c r="P37" s="522">
        <f>M37-'M-L C&amp;I Cust Cost Summary '!E35</f>
        <v>0</v>
      </c>
      <c r="Q37" s="505">
        <f>'Sch AL-TOU Cust Fcst'!F38</f>
        <v>804</v>
      </c>
      <c r="R37" s="310">
        <f>'Sch DG-R Cust Fcst'!F38</f>
        <v>102</v>
      </c>
      <c r="S37" s="310"/>
      <c r="T37" s="310">
        <f>'Sch OL-TOU Cust Fcst'!F38</f>
        <v>3</v>
      </c>
      <c r="U37" s="506">
        <f>SUM(Q37:T37)</f>
        <v>909</v>
      </c>
      <c r="X37" s="50"/>
      <c r="Y37" s="50"/>
      <c r="Z37" s="50"/>
      <c r="AB37" s="392"/>
    </row>
    <row r="38" spans="1:28" ht="13.5" thickTop="1">
      <c r="A38" s="46" t="s">
        <v>1</v>
      </c>
      <c r="C38" s="312"/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P38" s="522"/>
      <c r="Q38" s="11"/>
      <c r="R38" s="12"/>
      <c r="S38" s="12"/>
      <c r="T38" s="12"/>
      <c r="U38" s="76"/>
      <c r="X38" s="50"/>
      <c r="Y38" s="50"/>
      <c r="Z38" s="50"/>
      <c r="AB38" s="392"/>
    </row>
    <row r="39" spans="1:28" ht="18" customHeight="1">
      <c r="A39" s="296" t="s">
        <v>157</v>
      </c>
      <c r="C39" s="312">
        <f>'Sch AL-TOU Cust Cost Summary'!F35</f>
        <v>895.3611372803316</v>
      </c>
      <c r="D39" s="312">
        <f>'Sch DG-R Cust Cost Summary'!F35</f>
        <v>896.5137302923381</v>
      </c>
      <c r="E39" s="312"/>
      <c r="F39" s="312"/>
      <c r="G39" s="312"/>
      <c r="H39" s="312"/>
      <c r="I39" s="312"/>
      <c r="J39" s="312"/>
      <c r="K39" s="312"/>
      <c r="L39" s="312"/>
      <c r="M39" s="312">
        <f>(C39*Q39+D39*R39+S39*E39+T39*F39)/U39</f>
        <v>895.55323611566598</v>
      </c>
      <c r="P39" s="522">
        <f>M39-'M-L C&amp;I Cust Cost Summary '!F35</f>
        <v>0</v>
      </c>
      <c r="Q39" s="505">
        <f>'Sch AL-TOU Cust Fcst'!G39</f>
        <v>35</v>
      </c>
      <c r="R39" s="310">
        <f>'Sch DG-R Cust Fcst'!G39</f>
        <v>7</v>
      </c>
      <c r="S39" s="310"/>
      <c r="T39" s="310"/>
      <c r="U39" s="506">
        <f>SUM(Q39:T39)</f>
        <v>42</v>
      </c>
      <c r="W39" s="296"/>
      <c r="X39" s="50"/>
      <c r="Y39" s="50"/>
      <c r="Z39" s="50"/>
      <c r="AB39" s="392"/>
    </row>
    <row r="40" spans="1:28" ht="18" customHeight="1">
      <c r="A40" s="296" t="s">
        <v>155</v>
      </c>
      <c r="C40" s="312">
        <f>'Sch AL-TOU Cust Cost Summary'!G35</f>
        <v>896.43581416002576</v>
      </c>
      <c r="D40" s="312">
        <f>'Sch DG-R Cust Cost Summary'!G35</f>
        <v>896.5137302923381</v>
      </c>
      <c r="E40" s="312">
        <f>'Sch A6-TOU Cust Cost Summary'!C35</f>
        <v>896.5137302923381</v>
      </c>
      <c r="F40" s="312"/>
      <c r="G40" s="312"/>
      <c r="H40" s="312"/>
      <c r="I40" s="312"/>
      <c r="J40" s="312"/>
      <c r="K40" s="312"/>
      <c r="L40" s="312"/>
      <c r="M40" s="312">
        <f>(C40*Q40+D40*R40+S40*E40+T40*F40)/U40</f>
        <v>896.46789727333078</v>
      </c>
      <c r="P40" s="522">
        <f>M40-'M-L C&amp;I Cust Cost Summary '!G35</f>
        <v>0</v>
      </c>
      <c r="Q40" s="505">
        <f>'Sch AL-TOU Cust Fcst'!G40</f>
        <v>10</v>
      </c>
      <c r="R40" s="310">
        <f>'Sch DG-R Cust Fcst'!G40</f>
        <v>6</v>
      </c>
      <c r="S40" s="310">
        <f>'Sch A6-TOU Cust Fcst '!B40</f>
        <v>1</v>
      </c>
      <c r="T40" s="310"/>
      <c r="U40" s="506">
        <f>SUM(Q40:T40)</f>
        <v>17</v>
      </c>
      <c r="W40" s="296"/>
      <c r="X40" s="50"/>
      <c r="Y40" s="50"/>
      <c r="Z40" s="50"/>
      <c r="AB40" s="392"/>
    </row>
    <row r="41" spans="1:28" ht="18" customHeight="1">
      <c r="A41" s="296" t="s">
        <v>156</v>
      </c>
      <c r="C41" s="312"/>
      <c r="D41" s="312"/>
      <c r="E41" s="312"/>
      <c r="F41" s="312"/>
      <c r="G41" s="312"/>
      <c r="H41" s="312"/>
      <c r="I41" s="312"/>
      <c r="J41" s="312"/>
      <c r="K41" s="312"/>
      <c r="L41" s="312"/>
      <c r="M41" s="312"/>
      <c r="P41" s="522"/>
      <c r="Q41" s="507">
        <f>'Sch AL-TOU Cust Fcst'!G41</f>
        <v>0</v>
      </c>
      <c r="R41" s="311"/>
      <c r="S41" s="319"/>
      <c r="T41" s="311"/>
      <c r="U41" s="508">
        <f>SUM(Q41:T41)</f>
        <v>0</v>
      </c>
      <c r="X41" s="50"/>
      <c r="Y41" s="50"/>
      <c r="Z41" s="50"/>
      <c r="AB41" s="392"/>
    </row>
    <row r="42" spans="1:28" ht="18" customHeight="1" thickBot="1">
      <c r="A42" s="139"/>
      <c r="B42" s="144"/>
      <c r="C42" s="315">
        <f>'Sch AL-TOU Cust Cost Summary'!I35</f>
        <v>895.59995436470808</v>
      </c>
      <c r="D42" s="315">
        <f>'Sch DG-R Cust Cost Summary'!I35</f>
        <v>896.51373029233821</v>
      </c>
      <c r="E42" s="315">
        <f>'Sch A6-TOU Cust Cost Summary'!E35</f>
        <v>896.5137302923381</v>
      </c>
      <c r="F42" s="315"/>
      <c r="G42" s="315"/>
      <c r="H42" s="315"/>
      <c r="I42" s="315"/>
      <c r="J42" s="315"/>
      <c r="K42" s="315"/>
      <c r="L42" s="315"/>
      <c r="M42" s="316">
        <f>(C42*Q42+D42*R42+S42*E42+T42*F42)/U42</f>
        <v>895.8167825509255</v>
      </c>
      <c r="N42" s="144"/>
      <c r="O42" s="140">
        <f>SUM(O39:O39)</f>
        <v>0</v>
      </c>
      <c r="P42" s="522">
        <f>M42-'M-L C&amp;I Cust Cost Summary '!I35</f>
        <v>0</v>
      </c>
      <c r="Q42" s="505">
        <f>'Sch AL-TOU Cust Fcst'!G38</f>
        <v>45</v>
      </c>
      <c r="R42" s="310">
        <f>'Sch DG-R Cust Fcst'!G38</f>
        <v>13</v>
      </c>
      <c r="S42" s="310">
        <f>'Sch A6-TOU Cust Fcst '!B38</f>
        <v>1</v>
      </c>
      <c r="T42" s="310"/>
      <c r="U42" s="506">
        <f>SUM(Q42:T42)</f>
        <v>59</v>
      </c>
      <c r="X42" s="50"/>
      <c r="Y42" s="50"/>
      <c r="Z42" s="50"/>
      <c r="AB42" s="392"/>
    </row>
    <row r="43" spans="1:28" ht="13.5" thickTop="1">
      <c r="C43" s="312"/>
      <c r="D43" s="312"/>
      <c r="E43" s="312"/>
      <c r="F43" s="312"/>
      <c r="G43" s="312"/>
      <c r="H43" s="312"/>
      <c r="I43" s="312"/>
      <c r="J43" s="312"/>
      <c r="K43" s="312"/>
      <c r="L43" s="312"/>
      <c r="M43" s="312"/>
      <c r="P43" s="522"/>
      <c r="Q43" s="505"/>
      <c r="R43" s="310"/>
      <c r="S43" s="310"/>
      <c r="T43" s="310"/>
      <c r="U43" s="506"/>
      <c r="X43" s="50"/>
      <c r="Y43" s="50"/>
      <c r="Z43" s="50"/>
      <c r="AB43" s="392"/>
    </row>
    <row r="44" spans="1:28" ht="13">
      <c r="A44" s="46" t="s">
        <v>84</v>
      </c>
      <c r="C44" s="312"/>
      <c r="D44" s="312"/>
      <c r="E44" s="312"/>
      <c r="F44" s="312"/>
      <c r="G44" s="312"/>
      <c r="H44" s="312"/>
      <c r="I44" s="312"/>
      <c r="J44" s="312"/>
      <c r="K44" s="312"/>
      <c r="L44" s="312"/>
      <c r="M44" s="312"/>
      <c r="P44" s="522"/>
      <c r="Q44" s="505"/>
      <c r="R44" s="310"/>
      <c r="S44" s="310"/>
      <c r="T44" s="310"/>
      <c r="U44" s="506">
        <f>SUM(Q44:T44)</f>
        <v>0</v>
      </c>
      <c r="W44" s="296"/>
      <c r="X44" s="50"/>
      <c r="Y44" s="50"/>
      <c r="Z44" s="50"/>
      <c r="AB44" s="392"/>
    </row>
    <row r="45" spans="1:28" ht="13">
      <c r="A45" s="296" t="s">
        <v>157</v>
      </c>
      <c r="C45" s="312"/>
      <c r="D45" s="312"/>
      <c r="E45" s="312"/>
      <c r="F45" s="312"/>
      <c r="G45" s="312"/>
      <c r="H45" s="312"/>
      <c r="I45" s="312"/>
      <c r="J45" s="312"/>
      <c r="K45" s="312"/>
      <c r="L45" s="312"/>
      <c r="M45" s="312"/>
      <c r="P45" s="522"/>
      <c r="Q45" s="505">
        <f>'Sch AL-TOU Cust Fcst'!H39</f>
        <v>0</v>
      </c>
      <c r="R45" s="310"/>
      <c r="S45" s="310">
        <f>'Sch A6-TOU Cust Fcst '!C39</f>
        <v>0</v>
      </c>
      <c r="T45" s="310"/>
      <c r="U45" s="506">
        <f>SUM(Q45:T45)</f>
        <v>0</v>
      </c>
      <c r="W45" s="296"/>
      <c r="X45" s="50"/>
      <c r="Y45" s="50"/>
      <c r="Z45" s="50"/>
      <c r="AB45" s="392"/>
    </row>
    <row r="46" spans="1:28" ht="13">
      <c r="A46" s="296" t="s">
        <v>155</v>
      </c>
      <c r="C46" s="312"/>
      <c r="D46" s="312"/>
      <c r="E46" s="312"/>
      <c r="F46" s="312"/>
      <c r="G46" s="312"/>
      <c r="H46" s="312"/>
      <c r="I46" s="312"/>
      <c r="J46" s="312"/>
      <c r="K46" s="312"/>
      <c r="L46" s="312"/>
      <c r="M46" s="312"/>
      <c r="P46" s="522"/>
      <c r="Q46" s="505">
        <f>'Sch AL-TOU Cust Fcst'!H40</f>
        <v>0</v>
      </c>
      <c r="R46" s="310"/>
      <c r="S46" s="310">
        <f>'Sch A6-TOU Cust Fcst '!C40</f>
        <v>0</v>
      </c>
      <c r="T46" s="310"/>
      <c r="U46" s="506">
        <f>SUM(Q46:T46)</f>
        <v>0</v>
      </c>
      <c r="X46" s="50"/>
      <c r="Y46" s="50"/>
      <c r="Z46" s="50"/>
      <c r="AB46" s="392"/>
    </row>
    <row r="47" spans="1:28" ht="14">
      <c r="A47" s="296" t="s">
        <v>156</v>
      </c>
      <c r="C47" s="312"/>
      <c r="D47" s="312"/>
      <c r="E47" s="312"/>
      <c r="F47" s="312"/>
      <c r="G47" s="312"/>
      <c r="H47" s="312"/>
      <c r="I47" s="312"/>
      <c r="J47" s="312"/>
      <c r="K47" s="312"/>
      <c r="L47" s="312"/>
      <c r="M47" s="314"/>
      <c r="P47" s="522"/>
      <c r="Q47" s="507">
        <f>'Sch AL-TOU Cust Fcst'!H41</f>
        <v>0</v>
      </c>
      <c r="R47" s="311"/>
      <c r="S47" s="318">
        <f>'Sch A6-TOU Cust Fcst '!C41</f>
        <v>0</v>
      </c>
      <c r="T47" s="311"/>
      <c r="U47" s="508">
        <f>SUM(Q47:T47)</f>
        <v>0</v>
      </c>
      <c r="X47" s="50"/>
      <c r="Y47" s="50"/>
      <c r="Z47" s="50"/>
      <c r="AB47" s="392"/>
    </row>
    <row r="48" spans="1:28" ht="13.5" thickBot="1">
      <c r="B48" s="144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6"/>
      <c r="N48" s="144"/>
      <c r="O48" s="140"/>
      <c r="P48" s="522"/>
      <c r="Q48" s="505">
        <f>'Sch AL-TOU Cust Fcst'!H38</f>
        <v>0</v>
      </c>
      <c r="R48" s="310"/>
      <c r="S48" s="310">
        <f>'Sch A6-TOU Cust Fcst '!C38</f>
        <v>0</v>
      </c>
      <c r="T48" s="310"/>
      <c r="U48" s="506">
        <f>SUM(Q48:T48)</f>
        <v>0</v>
      </c>
      <c r="X48" s="50"/>
      <c r="Y48" s="50"/>
      <c r="Z48" s="50"/>
      <c r="AB48" s="392"/>
    </row>
    <row r="49" spans="1:28" ht="13.5" thickTop="1">
      <c r="C49" s="312"/>
      <c r="D49" s="312"/>
      <c r="E49" s="312"/>
      <c r="F49" s="312"/>
      <c r="G49" s="312"/>
      <c r="H49" s="312"/>
      <c r="I49" s="312"/>
      <c r="J49" s="312"/>
      <c r="K49" s="312"/>
      <c r="L49" s="312"/>
      <c r="M49" s="312"/>
      <c r="P49" s="522"/>
      <c r="Q49" s="505"/>
      <c r="R49" s="310"/>
      <c r="S49" s="310"/>
      <c r="T49" s="310"/>
      <c r="U49" s="506"/>
      <c r="X49" s="50"/>
      <c r="Y49" s="50"/>
      <c r="Z49" s="50"/>
      <c r="AB49" s="392"/>
    </row>
    <row r="50" spans="1:28" ht="13">
      <c r="A50" s="141" t="s">
        <v>2</v>
      </c>
      <c r="C50" s="312"/>
      <c r="D50" s="312"/>
      <c r="E50" s="312"/>
      <c r="F50" s="312"/>
      <c r="G50" s="312"/>
      <c r="H50" s="312"/>
      <c r="I50" s="312"/>
      <c r="J50" s="312"/>
      <c r="K50" s="312"/>
      <c r="L50" s="312"/>
      <c r="M50" s="312"/>
      <c r="P50" s="522"/>
      <c r="Q50" s="505"/>
      <c r="R50" s="310"/>
      <c r="S50" s="310"/>
      <c r="T50" s="310"/>
      <c r="U50" s="506"/>
      <c r="X50" s="50"/>
      <c r="Y50" s="50"/>
      <c r="Z50" s="50"/>
      <c r="AB50" s="392"/>
    </row>
    <row r="51" spans="1:28" ht="13">
      <c r="A51" s="296" t="s">
        <v>157</v>
      </c>
      <c r="C51" s="312">
        <f>'Sch AL-TOU Cust Cost Summary'!N35</f>
        <v>1982.1864628106587</v>
      </c>
      <c r="D51" s="312">
        <f>'Sch DG-R Cust Cost Summary'!J35</f>
        <v>2039.7566369356634</v>
      </c>
      <c r="E51" s="312"/>
      <c r="F51" s="312">
        <f>'Sch OL-TOU Cust Cost Summary'!B35</f>
        <v>2532.7265298917546</v>
      </c>
      <c r="G51" s="312"/>
      <c r="H51" s="312"/>
      <c r="I51" s="312"/>
      <c r="J51" s="312"/>
      <c r="K51" s="312"/>
      <c r="L51" s="312"/>
      <c r="M51" s="312">
        <f>(C51*Q51+D51*R51+S51*E51+F51*T51)/U51</f>
        <v>1990.5692289279496</v>
      </c>
      <c r="O51" s="50" t="e">
        <f>#REF!+#REF!+#REF!+#REF!+O45</f>
        <v>#REF!</v>
      </c>
      <c r="P51" s="522">
        <f>M51-'M-L C&amp;I Cust Cost Summary '!N35</f>
        <v>0</v>
      </c>
      <c r="Q51" s="505">
        <f>'Sch AL-TOU Cust Fcst'!I39</f>
        <v>816</v>
      </c>
      <c r="R51" s="310">
        <f>'Sch DG-R Cust Fcst'!H39</f>
        <v>106</v>
      </c>
      <c r="S51" s="310">
        <f>'Sch A6-TOU Cust Fcst '!D39</f>
        <v>0</v>
      </c>
      <c r="T51" s="310">
        <f>'Sch OL-TOU Cust Fcst'!H39</f>
        <v>3</v>
      </c>
      <c r="U51" s="506">
        <f>SUM(Q51:T51)</f>
        <v>925</v>
      </c>
      <c r="W51" s="296"/>
      <c r="X51" s="50"/>
      <c r="Y51" s="50"/>
      <c r="Z51" s="50"/>
      <c r="AB51" s="392"/>
    </row>
    <row r="52" spans="1:28" ht="13">
      <c r="A52" s="296" t="s">
        <v>155</v>
      </c>
      <c r="C52" s="312">
        <f>'Sch AL-TOU Cust Cost Summary'!O35</f>
        <v>2925.6749137051793</v>
      </c>
      <c r="D52" s="312">
        <f>'Sch DG-R Cust Cost Summary'!K35</f>
        <v>1864.5129787485587</v>
      </c>
      <c r="E52" s="312">
        <f>'Sch A6-TOU Cust Cost Summary'!K35</f>
        <v>896.5137302923381</v>
      </c>
      <c r="F52" s="312"/>
      <c r="G52" s="312"/>
      <c r="H52" s="312"/>
      <c r="I52" s="312"/>
      <c r="J52" s="312"/>
      <c r="K52" s="312"/>
      <c r="L52" s="312"/>
      <c r="M52" s="312">
        <f>(C52*Q52+D52*R52+S52*E52+F52*T52)/U52</f>
        <v>2656.3814579372161</v>
      </c>
      <c r="O52" s="50" t="e">
        <f>#REF!+#REF!+#REF!+#REF!+O46</f>
        <v>#REF!</v>
      </c>
      <c r="P52" s="522">
        <f>M52-'M-L C&amp;I Cust Cost Summary '!O35</f>
        <v>0</v>
      </c>
      <c r="Q52" s="505">
        <f>'Sch AL-TOU Cust Fcst'!I40</f>
        <v>33</v>
      </c>
      <c r="R52" s="310">
        <f>'Sch DG-R Cust Fcst'!H40</f>
        <v>9</v>
      </c>
      <c r="S52" s="310">
        <f>'Sch A6-TOU Cust Fcst '!D40</f>
        <v>1</v>
      </c>
      <c r="T52" s="310"/>
      <c r="U52" s="506">
        <f>SUM(Q52:T52)</f>
        <v>43</v>
      </c>
      <c r="W52" s="296"/>
      <c r="X52" s="50"/>
      <c r="Y52" s="50"/>
      <c r="Z52" s="50"/>
      <c r="AB52" s="392"/>
    </row>
    <row r="53" spans="1:28" ht="13">
      <c r="A53" s="296" t="s">
        <v>156</v>
      </c>
      <c r="C53" s="312"/>
      <c r="D53" s="312"/>
      <c r="E53" s="312"/>
      <c r="F53" s="312"/>
      <c r="G53" s="312"/>
      <c r="H53" s="312"/>
      <c r="I53" s="312"/>
      <c r="J53" s="312"/>
      <c r="K53" s="312"/>
      <c r="L53" s="312"/>
      <c r="M53" s="312"/>
      <c r="P53" s="522"/>
      <c r="Q53" s="507">
        <f>'Sch AL-TOU Cust Fcst'!I41</f>
        <v>0</v>
      </c>
      <c r="R53" s="311"/>
      <c r="S53" s="311">
        <f>'Sch A6-TOU Cust Fcst '!D41</f>
        <v>0</v>
      </c>
      <c r="T53" s="311"/>
      <c r="U53" s="508">
        <f>SUM(Q53:T53)</f>
        <v>0</v>
      </c>
      <c r="X53" s="50"/>
      <c r="Y53" s="50"/>
      <c r="Z53" s="50"/>
      <c r="AB53" s="392"/>
    </row>
    <row r="54" spans="1:28" ht="13.5" thickBot="1">
      <c r="B54" s="144"/>
      <c r="C54" s="315">
        <f>'Sch AL-TOU Cust Cost Summary'!Q35</f>
        <v>2018.8591587818237</v>
      </c>
      <c r="D54" s="315">
        <f>'Sch DG-R Cust Cost Summary'!M35</f>
        <v>2026.041915860151</v>
      </c>
      <c r="E54" s="315">
        <f>'Sch A6-TOU Cust Cost Summary'!M35</f>
        <v>896.5137302923381</v>
      </c>
      <c r="F54" s="315">
        <f>'Sch OL-TOU Cust Cost Summary'!E35</f>
        <v>2532.7265298917546</v>
      </c>
      <c r="G54" s="315"/>
      <c r="H54" s="315"/>
      <c r="I54" s="315"/>
      <c r="J54" s="315"/>
      <c r="K54" s="315"/>
      <c r="L54" s="315"/>
      <c r="M54" s="316">
        <f>(C54*Q54+D54*R54+S54*E54+F54*T54)/U54</f>
        <v>2020.1455986050137</v>
      </c>
      <c r="N54" s="144"/>
      <c r="O54" s="140" t="e">
        <f>SUM(O51:O53)</f>
        <v>#REF!</v>
      </c>
      <c r="P54" s="522">
        <f>M54-'M-L C&amp;I Cust Cost Summary '!Q35</f>
        <v>0</v>
      </c>
      <c r="Q54" s="509">
        <f>'Sch AL-TOU Cust Fcst'!I38</f>
        <v>849</v>
      </c>
      <c r="R54" s="421">
        <f>'Sch DG-R Cust Fcst'!H38</f>
        <v>115</v>
      </c>
      <c r="S54" s="421">
        <f>'Sch A6-TOU Cust Fcst '!D38</f>
        <v>1</v>
      </c>
      <c r="T54" s="421">
        <f>'Sch OL-TOU Cust Fcst'!H38</f>
        <v>3</v>
      </c>
      <c r="U54" s="510">
        <f>SUM(Q54:T54)</f>
        <v>968</v>
      </c>
      <c r="X54" s="50"/>
      <c r="Y54" s="50"/>
      <c r="Z54" s="50"/>
      <c r="AB54" s="392"/>
    </row>
    <row r="55" spans="1:28" ht="13.5" thickTop="1">
      <c r="C55" s="312"/>
      <c r="D55" s="312"/>
      <c r="E55" s="312"/>
      <c r="F55" s="312"/>
      <c r="G55" s="312"/>
      <c r="H55" s="312"/>
      <c r="I55" s="312"/>
      <c r="J55" s="312"/>
      <c r="K55" s="312"/>
      <c r="L55" s="312"/>
      <c r="M55" s="312"/>
      <c r="P55" s="300"/>
      <c r="Q55" s="50"/>
      <c r="R55" s="50"/>
      <c r="S55" s="50"/>
      <c r="T55" s="50"/>
      <c r="U55" s="50"/>
      <c r="V55" s="50"/>
      <c r="W55" s="143"/>
      <c r="X55" s="310"/>
      <c r="Y55" s="50"/>
      <c r="Z55" s="50"/>
    </row>
    <row r="56" spans="1:28" ht="13">
      <c r="C56" s="312"/>
      <c r="D56" s="312"/>
      <c r="E56" s="312"/>
      <c r="F56" s="312"/>
      <c r="G56" s="312"/>
      <c r="H56" s="312"/>
      <c r="I56" s="312"/>
      <c r="J56" s="312"/>
      <c r="K56" s="312"/>
      <c r="L56" s="312"/>
      <c r="M56" s="312"/>
      <c r="P56" s="300"/>
      <c r="Q56" s="50"/>
      <c r="R56" s="50"/>
      <c r="S56" s="50"/>
      <c r="T56" s="50"/>
      <c r="U56" s="50"/>
      <c r="V56" s="50"/>
      <c r="W56" s="50"/>
      <c r="X56" s="50"/>
      <c r="Y56" s="50"/>
      <c r="Z56" s="50"/>
    </row>
    <row r="57" spans="1:28" ht="13.5" thickBot="1">
      <c r="B57" s="23"/>
      <c r="C57" s="541" t="s">
        <v>77</v>
      </c>
      <c r="D57" s="542"/>
      <c r="E57" s="542"/>
      <c r="F57" s="542"/>
      <c r="G57" s="542"/>
      <c r="H57" s="542"/>
      <c r="I57" s="542"/>
      <c r="J57" s="542"/>
      <c r="K57" s="542"/>
      <c r="L57" s="542"/>
      <c r="M57" s="543"/>
      <c r="P57" s="300"/>
      <c r="Q57" s="50"/>
      <c r="R57" s="50"/>
      <c r="S57" s="50"/>
      <c r="T57" s="50"/>
      <c r="U57" s="50"/>
      <c r="V57" s="50"/>
      <c r="W57" s="50"/>
      <c r="X57" s="50"/>
      <c r="Y57" s="50"/>
      <c r="Z57" s="50"/>
    </row>
    <row r="58" spans="1:28" ht="39">
      <c r="B58" s="23"/>
      <c r="C58" s="313" t="s">
        <v>73</v>
      </c>
      <c r="D58" s="313" t="s">
        <v>298</v>
      </c>
      <c r="E58" s="313"/>
      <c r="F58" s="313"/>
      <c r="G58" s="313"/>
      <c r="H58" s="313"/>
      <c r="I58" s="313"/>
      <c r="J58" s="313"/>
      <c r="K58" s="313"/>
      <c r="L58" s="313"/>
      <c r="M58" s="456" t="s">
        <v>206</v>
      </c>
      <c r="P58" s="300"/>
      <c r="Q58" s="500" t="s">
        <v>73</v>
      </c>
      <c r="R58" s="501" t="s">
        <v>298</v>
      </c>
      <c r="S58" s="502" t="s">
        <v>2</v>
      </c>
      <c r="U58" s="50"/>
      <c r="V58" s="50"/>
      <c r="W58" s="50"/>
      <c r="X58" s="50"/>
      <c r="Y58" s="50"/>
      <c r="Z58" s="50"/>
    </row>
    <row r="59" spans="1:28" ht="13">
      <c r="B59" s="23"/>
      <c r="C59" s="336"/>
      <c r="D59" s="336"/>
      <c r="E59" s="336"/>
      <c r="F59" s="336"/>
      <c r="G59" s="336"/>
      <c r="H59" s="336"/>
      <c r="I59" s="336"/>
      <c r="J59" s="336"/>
      <c r="K59" s="336"/>
      <c r="L59" s="336"/>
      <c r="M59" s="337"/>
      <c r="P59" s="300"/>
      <c r="Q59" s="503"/>
      <c r="R59" s="12"/>
      <c r="S59" s="504"/>
      <c r="U59" s="50"/>
      <c r="V59" s="50"/>
      <c r="W59" s="50"/>
      <c r="X59" s="50"/>
      <c r="Y59" s="50"/>
      <c r="Z59" s="50"/>
    </row>
    <row r="60" spans="1:28" ht="13">
      <c r="A60" s="46" t="s">
        <v>0</v>
      </c>
      <c r="C60" s="312"/>
      <c r="D60" s="312"/>
      <c r="E60" s="312"/>
      <c r="F60" s="312"/>
      <c r="G60" s="312"/>
      <c r="H60" s="312"/>
      <c r="I60" s="312"/>
      <c r="J60" s="312"/>
      <c r="K60" s="312"/>
      <c r="L60" s="312"/>
      <c r="M60" s="312"/>
      <c r="P60" s="300"/>
      <c r="Q60" s="505"/>
      <c r="R60" s="12"/>
      <c r="S60" s="506"/>
      <c r="U60" s="50"/>
      <c r="V60" s="50"/>
      <c r="W60" s="50"/>
      <c r="X60" s="50"/>
      <c r="Y60" s="50"/>
      <c r="Z60" s="50"/>
    </row>
    <row r="61" spans="1:28" ht="13">
      <c r="A61" s="296" t="s">
        <v>159</v>
      </c>
      <c r="C61" s="312"/>
      <c r="D61" s="312">
        <f>'Sch TOU-PA Cust Cost Summary'!B35</f>
        <v>489.32787894959495</v>
      </c>
      <c r="E61" s="312"/>
      <c r="F61" s="312"/>
      <c r="G61" s="312"/>
      <c r="H61" s="312"/>
      <c r="I61" s="312"/>
      <c r="J61" s="312"/>
      <c r="K61" s="312"/>
      <c r="L61" s="312"/>
      <c r="M61" s="312">
        <f>(C61*Q61+D61*R61)/S61</f>
        <v>489.32787894959495</v>
      </c>
      <c r="P61" s="370">
        <f>M61-'Agric Cust Cost Summary'!B35</f>
        <v>0</v>
      </c>
      <c r="Q61" s="505"/>
      <c r="R61" s="517">
        <f>'Sch TOU-PA Cust Fcst'!F39</f>
        <v>2</v>
      </c>
      <c r="S61" s="506">
        <f>SUM(Q61:R61)</f>
        <v>2</v>
      </c>
      <c r="U61" s="50"/>
      <c r="V61" s="523"/>
      <c r="W61" s="50"/>
      <c r="X61" s="50"/>
      <c r="Y61" s="50"/>
      <c r="Z61" s="50"/>
      <c r="AB61" s="392"/>
    </row>
    <row r="62" spans="1:28" ht="14">
      <c r="A62" s="296" t="s">
        <v>160</v>
      </c>
      <c r="C62" s="312"/>
      <c r="D62" s="312">
        <f>'Sch TOU-PA Cust Cost Summary'!C35</f>
        <v>1966.8865779943224</v>
      </c>
      <c r="E62" s="312"/>
      <c r="F62" s="312"/>
      <c r="G62" s="312"/>
      <c r="H62" s="312"/>
      <c r="I62" s="312"/>
      <c r="J62" s="312"/>
      <c r="K62" s="312"/>
      <c r="L62" s="312"/>
      <c r="M62" s="312">
        <f>(C62*Q62+D62*R62)/S62</f>
        <v>1966.8865779943224</v>
      </c>
      <c r="P62" s="370">
        <f>M62-'Agric Cust Cost Summary'!C35</f>
        <v>0</v>
      </c>
      <c r="Q62" s="507"/>
      <c r="R62" s="518">
        <f>'Sch TOU-PA Cust Fcst'!F40</f>
        <v>1</v>
      </c>
      <c r="S62" s="516">
        <f>SUM(Q62:R62)</f>
        <v>1</v>
      </c>
      <c r="U62" s="50"/>
      <c r="V62" s="50"/>
      <c r="W62" s="50"/>
      <c r="X62" s="50"/>
      <c r="Y62" s="50"/>
      <c r="Z62" s="50"/>
      <c r="AB62" s="392"/>
    </row>
    <row r="63" spans="1:28" ht="13.5" thickBot="1">
      <c r="B63" s="144"/>
      <c r="C63" s="315"/>
      <c r="D63" s="315">
        <f>'Sch TOU-PA Cust Cost Summary'!D35</f>
        <v>981.84744529783723</v>
      </c>
      <c r="E63" s="315"/>
      <c r="F63" s="315"/>
      <c r="G63" s="315"/>
      <c r="H63" s="315"/>
      <c r="I63" s="315"/>
      <c r="J63" s="315"/>
      <c r="K63" s="315"/>
      <c r="L63" s="315"/>
      <c r="M63" s="316">
        <f>(C63*Q63+D63*R63)/S63</f>
        <v>981.84744529783723</v>
      </c>
      <c r="P63" s="370">
        <f>M63-'Agric Cust Cost Summary'!D35</f>
        <v>0</v>
      </c>
      <c r="Q63" s="505"/>
      <c r="R63" s="517">
        <f>'Sch TOU-PA Cust Fcst'!F38</f>
        <v>3</v>
      </c>
      <c r="S63" s="524">
        <f>SUM(Q63:R63)</f>
        <v>3</v>
      </c>
      <c r="U63" s="50"/>
      <c r="V63" s="50"/>
      <c r="W63" s="50"/>
      <c r="X63" s="50"/>
      <c r="Y63" s="50"/>
      <c r="Z63" s="50"/>
      <c r="AB63" s="392"/>
    </row>
    <row r="64" spans="1:28" ht="13.5" thickTop="1">
      <c r="A64" s="46" t="s">
        <v>1</v>
      </c>
      <c r="C64" s="312"/>
      <c r="D64" s="312"/>
      <c r="E64" s="312"/>
      <c r="F64" s="312"/>
      <c r="G64" s="312"/>
      <c r="H64" s="312"/>
      <c r="I64" s="312"/>
      <c r="J64" s="312"/>
      <c r="K64" s="312"/>
      <c r="L64" s="312"/>
      <c r="M64" s="312"/>
      <c r="P64" s="370"/>
      <c r="Q64" s="505"/>
      <c r="R64" s="12"/>
      <c r="S64" s="506"/>
      <c r="U64" s="50"/>
      <c r="V64" s="50"/>
      <c r="W64" s="50"/>
      <c r="X64" s="50"/>
      <c r="Y64" s="50"/>
      <c r="Z64" s="50"/>
      <c r="AB64" s="392"/>
    </row>
    <row r="65" spans="1:28" ht="13">
      <c r="A65" s="296" t="s">
        <v>159</v>
      </c>
      <c r="C65" s="312"/>
      <c r="D65" s="312"/>
      <c r="E65" s="312"/>
      <c r="F65" s="312"/>
      <c r="G65" s="312"/>
      <c r="H65" s="312"/>
      <c r="I65" s="312"/>
      <c r="J65" s="312"/>
      <c r="K65" s="312"/>
      <c r="L65" s="312"/>
      <c r="M65" s="312"/>
      <c r="P65" s="370"/>
      <c r="Q65" s="505"/>
      <c r="R65" s="517">
        <f>'Sch TOU-PA Cust Fcst'!G39</f>
        <v>0</v>
      </c>
      <c r="S65" s="506">
        <f>SUM(Q65:R65)</f>
        <v>0</v>
      </c>
      <c r="U65" s="50"/>
      <c r="V65" s="50"/>
      <c r="W65" s="50"/>
      <c r="X65" s="50"/>
      <c r="Y65" s="50"/>
      <c r="Z65" s="50"/>
      <c r="AB65" s="392"/>
    </row>
    <row r="66" spans="1:28" ht="14">
      <c r="A66" s="296" t="s">
        <v>160</v>
      </c>
      <c r="C66" s="312"/>
      <c r="D66" s="312"/>
      <c r="E66" s="312"/>
      <c r="F66" s="312"/>
      <c r="G66" s="312"/>
      <c r="H66" s="312"/>
      <c r="I66" s="312"/>
      <c r="J66" s="312"/>
      <c r="K66" s="312"/>
      <c r="L66" s="312"/>
      <c r="M66" s="312"/>
      <c r="P66" s="370"/>
      <c r="Q66" s="507"/>
      <c r="R66" s="518">
        <f>'Sch TOU-PA Cust Fcst'!G40</f>
        <v>0</v>
      </c>
      <c r="S66" s="516">
        <f>SUM(Q66:R66)</f>
        <v>0</v>
      </c>
      <c r="U66" s="50"/>
      <c r="V66" s="50"/>
      <c r="W66" s="50"/>
      <c r="X66" s="50"/>
      <c r="Y66" s="50"/>
      <c r="Z66" s="50"/>
      <c r="AB66" s="392"/>
    </row>
    <row r="67" spans="1:28" ht="13.5" thickBot="1">
      <c r="A67" s="139"/>
      <c r="B67" s="144"/>
      <c r="C67" s="315"/>
      <c r="D67" s="316"/>
      <c r="E67" s="315"/>
      <c r="F67" s="315"/>
      <c r="G67" s="315"/>
      <c r="H67" s="315"/>
      <c r="I67" s="315"/>
      <c r="J67" s="315"/>
      <c r="K67" s="315"/>
      <c r="L67" s="315"/>
      <c r="M67" s="316"/>
      <c r="P67" s="370"/>
      <c r="Q67" s="505"/>
      <c r="R67" s="517">
        <f>'Sch TOU-PA Cust Fcst'!G38</f>
        <v>0</v>
      </c>
      <c r="S67" s="524">
        <f>SUM(Q67:R67)</f>
        <v>0</v>
      </c>
      <c r="U67" s="50"/>
      <c r="V67" s="50"/>
      <c r="W67" s="50"/>
      <c r="X67" s="50"/>
      <c r="Y67" s="50"/>
      <c r="Z67" s="50"/>
      <c r="AB67" s="392"/>
    </row>
    <row r="68" spans="1:28" ht="13.5" thickTop="1">
      <c r="C68" s="312"/>
      <c r="D68" s="312"/>
      <c r="E68" s="312"/>
      <c r="F68" s="312"/>
      <c r="G68" s="312"/>
      <c r="H68" s="312"/>
      <c r="I68" s="312"/>
      <c r="J68" s="312"/>
      <c r="K68" s="312"/>
      <c r="L68" s="312"/>
      <c r="M68" s="312"/>
      <c r="P68" s="370"/>
      <c r="Q68" s="505"/>
      <c r="R68" s="12"/>
      <c r="S68" s="506"/>
      <c r="U68" s="50"/>
      <c r="V68" s="50"/>
      <c r="W68" s="50"/>
      <c r="X68" s="50"/>
      <c r="Y68" s="50"/>
      <c r="Z68" s="50"/>
    </row>
    <row r="69" spans="1:28" ht="13">
      <c r="A69" s="141" t="s">
        <v>2</v>
      </c>
      <c r="C69" s="312"/>
      <c r="D69" s="312"/>
      <c r="E69" s="312"/>
      <c r="F69" s="312"/>
      <c r="G69" s="312"/>
      <c r="H69" s="312"/>
      <c r="I69" s="312"/>
      <c r="J69" s="312"/>
      <c r="K69" s="312"/>
      <c r="L69" s="312"/>
      <c r="M69" s="312"/>
      <c r="P69" s="370"/>
      <c r="Q69" s="505"/>
      <c r="R69" s="12"/>
      <c r="S69" s="506"/>
      <c r="U69" s="50"/>
      <c r="V69" s="50"/>
      <c r="W69" s="50"/>
      <c r="X69" s="50"/>
      <c r="Y69" s="50"/>
      <c r="Z69" s="50"/>
    </row>
    <row r="70" spans="1:28" ht="13">
      <c r="A70" s="296" t="s">
        <v>159</v>
      </c>
      <c r="C70" s="312"/>
      <c r="D70" s="312">
        <f>'Sch TOU-PA Cust Cost Summary'!H35</f>
        <v>489.32787894959495</v>
      </c>
      <c r="E70" s="312"/>
      <c r="F70" s="312"/>
      <c r="G70" s="312"/>
      <c r="H70" s="312"/>
      <c r="I70" s="312"/>
      <c r="J70" s="312"/>
      <c r="K70" s="312"/>
      <c r="L70" s="312"/>
      <c r="M70" s="312">
        <f>(C70*Q70+D70*R70)/S70</f>
        <v>489.32787894959495</v>
      </c>
      <c r="P70" s="370">
        <f>M70-'Agric Cust Cost Summary'!H35</f>
        <v>0</v>
      </c>
      <c r="Q70" s="505"/>
      <c r="R70" s="517">
        <f>'Sch TOU-PA Cust Fcst'!H39</f>
        <v>2</v>
      </c>
      <c r="S70" s="506">
        <f>SUM(Q70:R70)</f>
        <v>2</v>
      </c>
      <c r="U70" s="50"/>
      <c r="V70" s="50"/>
      <c r="W70" s="50"/>
      <c r="X70" s="50"/>
      <c r="Y70" s="50"/>
      <c r="Z70" s="50"/>
      <c r="AB70" s="392"/>
    </row>
    <row r="71" spans="1:28" ht="14">
      <c r="A71" s="296" t="s">
        <v>160</v>
      </c>
      <c r="C71" s="312"/>
      <c r="D71" s="312">
        <f>'Sch TOU-PA Cust Cost Summary'!I35</f>
        <v>1966.8865779943224</v>
      </c>
      <c r="E71" s="312"/>
      <c r="F71" s="312"/>
      <c r="G71" s="312"/>
      <c r="H71" s="312"/>
      <c r="I71" s="312"/>
      <c r="J71" s="312"/>
      <c r="K71" s="312"/>
      <c r="L71" s="312"/>
      <c r="M71" s="312">
        <f>(C71*Q71+D71*R71)/S71</f>
        <v>1966.8865779943224</v>
      </c>
      <c r="P71" s="370">
        <f>M71-'Agric Cust Cost Summary'!I35</f>
        <v>0</v>
      </c>
      <c r="Q71" s="507"/>
      <c r="R71" s="518">
        <f>'Sch TOU-PA Cust Fcst'!H40</f>
        <v>1</v>
      </c>
      <c r="S71" s="516">
        <f>SUM(Q71:R71)</f>
        <v>1</v>
      </c>
      <c r="U71" s="50"/>
      <c r="V71" s="50"/>
      <c r="W71" s="50"/>
      <c r="X71" s="50"/>
      <c r="Y71" s="50"/>
      <c r="Z71" s="50"/>
    </row>
    <row r="72" spans="1:28" ht="13.5" thickBot="1">
      <c r="B72" s="144"/>
      <c r="C72" s="315"/>
      <c r="D72" s="315">
        <f>'Sch TOU-PA Cust Cost Summary'!J35</f>
        <v>981.84744529783723</v>
      </c>
      <c r="E72" s="315"/>
      <c r="F72" s="315"/>
      <c r="G72" s="315"/>
      <c r="H72" s="315"/>
      <c r="I72" s="315"/>
      <c r="J72" s="315"/>
      <c r="K72" s="315"/>
      <c r="L72" s="315"/>
      <c r="M72" s="316">
        <f>(C72*Q72+D72*R72)/S72</f>
        <v>981.84744529783723</v>
      </c>
      <c r="P72" s="370">
        <f>M72-'Agric Cust Cost Summary'!J35</f>
        <v>0</v>
      </c>
      <c r="Q72" s="509"/>
      <c r="R72" s="519">
        <f>'Sch TOU-PA Cust Fcst'!H38</f>
        <v>3</v>
      </c>
      <c r="S72" s="525">
        <f>SUM(Q72:R72)</f>
        <v>3</v>
      </c>
      <c r="U72" s="50"/>
      <c r="V72" s="50"/>
      <c r="W72" s="50"/>
      <c r="X72" s="50"/>
      <c r="Y72" s="50"/>
      <c r="Z72" s="50"/>
    </row>
    <row r="73" spans="1:28" ht="13" thickTop="1">
      <c r="C73" s="312"/>
      <c r="D73" s="312"/>
      <c r="E73" s="312"/>
      <c r="F73" s="312"/>
      <c r="G73" s="312"/>
      <c r="H73" s="312"/>
      <c r="I73" s="312"/>
      <c r="J73" s="312"/>
      <c r="K73" s="312"/>
      <c r="L73" s="312"/>
      <c r="M73" s="312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8">
      <c r="C74" s="312"/>
      <c r="D74" s="312"/>
      <c r="E74" s="312"/>
      <c r="F74" s="312"/>
      <c r="G74" s="312"/>
      <c r="H74" s="312"/>
      <c r="I74" s="312"/>
      <c r="J74" s="312"/>
      <c r="K74" s="312"/>
      <c r="L74" s="312"/>
      <c r="M74" s="312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spans="1:28" ht="13">
      <c r="C75" s="727" t="s">
        <v>58</v>
      </c>
      <c r="D75" s="728"/>
      <c r="E75" s="728"/>
      <c r="F75" s="728"/>
      <c r="G75" s="728"/>
      <c r="H75" s="728"/>
      <c r="I75" s="728"/>
      <c r="J75" s="728"/>
      <c r="K75" s="728"/>
      <c r="L75" s="728"/>
      <c r="M75" s="729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8" ht="39">
      <c r="C76" s="313" t="s">
        <v>58</v>
      </c>
      <c r="D76" s="313"/>
      <c r="E76" s="313"/>
      <c r="F76" s="313"/>
      <c r="G76" s="313"/>
      <c r="H76" s="313"/>
      <c r="I76" s="313"/>
      <c r="J76" s="313"/>
      <c r="K76" s="313"/>
      <c r="L76" s="313"/>
      <c r="M76" s="456" t="s">
        <v>206</v>
      </c>
      <c r="Q76" s="335"/>
      <c r="R76" s="335"/>
      <c r="S76" s="335"/>
      <c r="T76" s="50"/>
      <c r="U76" s="50"/>
      <c r="V76" s="50"/>
      <c r="W76" s="50"/>
      <c r="X76" s="50"/>
      <c r="Y76" s="50"/>
      <c r="Z76" s="50"/>
    </row>
    <row r="77" spans="1:28">
      <c r="C77" s="312"/>
      <c r="D77" s="312"/>
      <c r="E77" s="312"/>
      <c r="F77" s="312"/>
      <c r="G77" s="312"/>
      <c r="H77" s="312"/>
      <c r="I77" s="312"/>
      <c r="J77" s="312"/>
      <c r="K77" s="312"/>
      <c r="L77" s="312"/>
      <c r="M77" s="312"/>
      <c r="Q77" s="310"/>
      <c r="R77" s="310"/>
      <c r="S77" s="310"/>
      <c r="T77" s="50"/>
      <c r="U77" s="50"/>
      <c r="V77" s="50"/>
      <c r="W77" s="50"/>
      <c r="X77" s="50"/>
      <c r="Y77" s="50"/>
      <c r="Z77" s="50"/>
    </row>
    <row r="78" spans="1:28" ht="13">
      <c r="A78" s="46" t="s">
        <v>2</v>
      </c>
      <c r="C78" s="312">
        <f>'Street Light Cust Cost Summary'!B40</f>
        <v>7.6885790392590145</v>
      </c>
      <c r="D78" s="312"/>
      <c r="E78" s="312"/>
      <c r="F78" s="312"/>
      <c r="G78" s="312"/>
      <c r="H78" s="312"/>
      <c r="I78" s="312"/>
      <c r="J78" s="312"/>
      <c r="K78" s="312"/>
      <c r="L78" s="312"/>
      <c r="M78" s="312">
        <f>C78</f>
        <v>7.6885790392590145</v>
      </c>
      <c r="P78" s="370">
        <f>M78-'Street Light Cust Cost Summary'!B40</f>
        <v>0</v>
      </c>
      <c r="Q78" s="310"/>
      <c r="R78" s="310"/>
      <c r="S78" s="310"/>
      <c r="T78" s="50"/>
      <c r="U78" s="50"/>
      <c r="V78" s="50"/>
      <c r="W78" s="50"/>
      <c r="X78" s="50"/>
      <c r="Y78" s="50"/>
      <c r="Z78" s="50"/>
    </row>
    <row r="81" spans="1:18" ht="13">
      <c r="A81" s="46" t="s">
        <v>351</v>
      </c>
    </row>
    <row r="82" spans="1:18">
      <c r="A82" s="296"/>
    </row>
    <row r="83" spans="1:18" ht="13">
      <c r="A83" s="46" t="s">
        <v>0</v>
      </c>
      <c r="C83" s="312"/>
      <c r="D83" s="312"/>
      <c r="E83" s="312"/>
      <c r="F83" s="312"/>
      <c r="G83" s="312"/>
      <c r="H83" s="312"/>
      <c r="I83" s="312"/>
      <c r="J83" s="312"/>
      <c r="K83" s="312"/>
      <c r="L83" s="312"/>
      <c r="M83" s="312"/>
    </row>
    <row r="84" spans="1:18" ht="13">
      <c r="A84" s="296" t="s">
        <v>159</v>
      </c>
      <c r="C84" s="312"/>
      <c r="D84" s="312"/>
      <c r="E84" s="312"/>
      <c r="F84" s="312"/>
      <c r="G84" s="312"/>
      <c r="H84" s="312"/>
      <c r="I84" s="312"/>
      <c r="J84" s="312"/>
      <c r="K84" s="312"/>
      <c r="L84" s="312"/>
      <c r="M84" s="312">
        <f>'School Class Cust Cost Summary'!B35</f>
        <v>432.96584726733329</v>
      </c>
      <c r="Q84" s="18">
        <f>AA3+U14+S61</f>
        <v>647</v>
      </c>
    </row>
    <row r="85" spans="1:18" ht="14">
      <c r="A85" s="296" t="s">
        <v>160</v>
      </c>
      <c r="C85" s="312"/>
      <c r="D85" s="312"/>
      <c r="E85" s="312"/>
      <c r="F85" s="312"/>
      <c r="G85" s="312"/>
      <c r="H85" s="312"/>
      <c r="I85" s="312"/>
      <c r="J85" s="312"/>
      <c r="K85" s="312"/>
      <c r="L85" s="312"/>
      <c r="M85" s="312">
        <f>'School Class Cust Cost Summary'!C35</f>
        <v>2092.9868988271892</v>
      </c>
      <c r="Q85" s="593">
        <f>U37+S62</f>
        <v>910</v>
      </c>
    </row>
    <row r="86" spans="1:18" ht="13.5" thickBot="1">
      <c r="B86" s="144"/>
      <c r="C86" s="315"/>
      <c r="D86" s="315"/>
      <c r="E86" s="315"/>
      <c r="F86" s="315"/>
      <c r="G86" s="315"/>
      <c r="H86" s="315"/>
      <c r="I86" s="315"/>
      <c r="J86" s="315"/>
      <c r="K86" s="315"/>
      <c r="L86" s="315"/>
      <c r="M86" s="316">
        <f>'School Class Cust Cost Summary'!D35</f>
        <v>1403.1772518398886</v>
      </c>
      <c r="Q86" s="18">
        <f>Q84+Q85</f>
        <v>1557</v>
      </c>
    </row>
    <row r="87" spans="1:18" ht="13.5" thickTop="1">
      <c r="A87" s="46" t="s">
        <v>1</v>
      </c>
      <c r="C87" s="312"/>
      <c r="D87" s="312"/>
      <c r="E87" s="312"/>
      <c r="F87" s="312"/>
      <c r="G87" s="312"/>
      <c r="H87" s="312"/>
      <c r="I87" s="312"/>
      <c r="J87" s="312"/>
      <c r="K87" s="312"/>
      <c r="L87" s="312"/>
      <c r="M87" s="312"/>
    </row>
    <row r="88" spans="1:18" ht="13">
      <c r="A88" s="296" t="s">
        <v>159</v>
      </c>
      <c r="C88" s="312"/>
      <c r="D88" s="312"/>
      <c r="E88" s="312"/>
      <c r="F88" s="312"/>
      <c r="G88" s="312"/>
      <c r="H88" s="312"/>
      <c r="I88" s="312"/>
      <c r="J88" s="312"/>
      <c r="K88" s="312"/>
      <c r="L88" s="312"/>
      <c r="M88" s="312"/>
      <c r="Q88" s="18">
        <f>X39</f>
        <v>0</v>
      </c>
    </row>
    <row r="89" spans="1:18" ht="14">
      <c r="A89" s="296" t="s">
        <v>160</v>
      </c>
      <c r="C89" s="312"/>
      <c r="D89" s="312"/>
      <c r="E89" s="312"/>
      <c r="F89" s="312"/>
      <c r="G89" s="312"/>
      <c r="H89" s="312"/>
      <c r="I89" s="312"/>
      <c r="J89" s="312"/>
      <c r="K89" s="312"/>
      <c r="L89" s="312"/>
      <c r="M89" s="312">
        <f>'School Class Cust Cost Summary'!F35</f>
        <v>895.81678255092538</v>
      </c>
      <c r="Q89" s="593">
        <f>U42</f>
        <v>59</v>
      </c>
    </row>
    <row r="90" spans="1:18" ht="13.5" thickBot="1">
      <c r="A90" s="139"/>
      <c r="B90" s="144"/>
      <c r="C90" s="315"/>
      <c r="D90" s="316"/>
      <c r="E90" s="315"/>
      <c r="F90" s="315"/>
      <c r="G90" s="315"/>
      <c r="H90" s="315"/>
      <c r="I90" s="315"/>
      <c r="J90" s="315"/>
      <c r="K90" s="315"/>
      <c r="L90" s="315"/>
      <c r="M90" s="316">
        <f>'School Class Cust Cost Summary'!G35</f>
        <v>895.81678255092538</v>
      </c>
      <c r="Q90" s="18">
        <f>Q88+Q89</f>
        <v>59</v>
      </c>
    </row>
    <row r="91" spans="1:18" ht="13" thickTop="1">
      <c r="C91" s="312"/>
      <c r="D91" s="312"/>
      <c r="E91" s="312"/>
      <c r="F91" s="312"/>
      <c r="G91" s="312"/>
      <c r="H91" s="312"/>
      <c r="I91" s="312"/>
      <c r="J91" s="312"/>
      <c r="K91" s="312"/>
      <c r="L91" s="312"/>
      <c r="M91" s="312"/>
    </row>
    <row r="92" spans="1:18" ht="13">
      <c r="A92" s="141" t="s">
        <v>352</v>
      </c>
      <c r="C92" s="312"/>
      <c r="D92" s="312"/>
      <c r="E92" s="312"/>
      <c r="F92" s="312"/>
      <c r="G92" s="312"/>
      <c r="H92" s="312"/>
      <c r="I92" s="312"/>
      <c r="J92" s="312"/>
      <c r="K92" s="312"/>
      <c r="L92" s="312"/>
      <c r="M92" s="312"/>
    </row>
    <row r="93" spans="1:18" ht="13">
      <c r="A93" s="296" t="s">
        <v>159</v>
      </c>
      <c r="C93" s="312"/>
      <c r="D93" s="312"/>
      <c r="E93" s="312"/>
      <c r="F93" s="312"/>
      <c r="G93" s="312"/>
      <c r="H93" s="312"/>
      <c r="I93" s="312"/>
      <c r="J93" s="312"/>
      <c r="K93" s="312"/>
      <c r="L93" s="312"/>
      <c r="M93" s="312">
        <f>'School Class Cust Cost Summary'!H35</f>
        <v>432.96584726733329</v>
      </c>
      <c r="Q93" s="18">
        <f>Q84+Q88</f>
        <v>647</v>
      </c>
    </row>
    <row r="94" spans="1:18">
      <c r="A94" s="296" t="s">
        <v>160</v>
      </c>
      <c r="C94" s="312"/>
      <c r="D94" s="312"/>
      <c r="E94" s="312"/>
      <c r="F94" s="312"/>
      <c r="G94" s="312"/>
      <c r="H94" s="312"/>
      <c r="I94" s="312"/>
      <c r="J94" s="312"/>
      <c r="K94" s="312"/>
      <c r="L94" s="312"/>
      <c r="M94" s="312">
        <f>'School Class Cust Cost Summary'!I35</f>
        <v>2020.0941879290474</v>
      </c>
      <c r="Q94" s="18">
        <f>Q85+Q89</f>
        <v>969</v>
      </c>
      <c r="R94" s="18"/>
    </row>
    <row r="95" spans="1:18" ht="13.5" thickBot="1">
      <c r="B95" s="144"/>
      <c r="C95" s="315"/>
      <c r="D95" s="315"/>
      <c r="E95" s="315"/>
      <c r="F95" s="315"/>
      <c r="G95" s="315"/>
      <c r="H95" s="315"/>
      <c r="I95" s="315"/>
      <c r="J95" s="315"/>
      <c r="K95" s="315"/>
      <c r="L95" s="315"/>
      <c r="M95" s="316">
        <f>'School Class Cust Cost Summary'!J35</f>
        <v>1384.6535713398584</v>
      </c>
      <c r="Q95" s="18">
        <f>Q93+Q94</f>
        <v>1616</v>
      </c>
    </row>
    <row r="96" spans="1:18" ht="13" thickTop="1"/>
    <row r="97" spans="1:17" ht="13">
      <c r="A97" s="46" t="s">
        <v>58</v>
      </c>
    </row>
    <row r="98" spans="1:17" ht="13.5" thickBot="1">
      <c r="C98" s="315"/>
      <c r="D98" s="315"/>
      <c r="E98" s="315"/>
      <c r="F98" s="315"/>
      <c r="G98" s="315"/>
      <c r="H98" s="315"/>
      <c r="I98" s="315"/>
      <c r="J98" s="315"/>
      <c r="K98" s="315"/>
      <c r="L98" s="315"/>
      <c r="M98" s="316">
        <f>'School Class Cust Cost Summary'!J37</f>
        <v>7.6885790392590145</v>
      </c>
      <c r="Q98">
        <f>'Street Light Cust Cost Summary'!B30</f>
        <v>103</v>
      </c>
    </row>
    <row r="99" spans="1:17" ht="13" thickTop="1"/>
    <row r="100" spans="1:17" ht="13">
      <c r="A100" s="46" t="s">
        <v>2</v>
      </c>
      <c r="Q100" s="18">
        <f>Q95+Q98</f>
        <v>1719</v>
      </c>
    </row>
  </sheetData>
  <mergeCells count="5">
    <mergeCell ref="C75:M75"/>
    <mergeCell ref="O30:O31"/>
    <mergeCell ref="C30:M30"/>
    <mergeCell ref="C1:M1"/>
    <mergeCell ref="C6:M6"/>
  </mergeCells>
  <printOptions horizontalCentered="1"/>
  <pageMargins left="0.75" right="0.75" top="1" bottom="1" header="0.5" footer="0.5"/>
  <pageSetup scale="56" orientation="portrait" r:id="rId1"/>
  <headerFooter alignWithMargins="0">
    <oddFooter>&amp;L&amp;F
&amp;A&amp;R&amp;P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0">
    <tabColor rgb="FFFFC000"/>
  </sheetPr>
  <dimension ref="A1:AG59"/>
  <sheetViews>
    <sheetView topLeftCell="L20" zoomScaleNormal="100" workbookViewId="0">
      <selection activeCell="O39" sqref="O39"/>
    </sheetView>
  </sheetViews>
  <sheetFormatPr defaultRowHeight="12.5"/>
  <cols>
    <col min="1" max="1" width="32.7265625" customWidth="1"/>
    <col min="2" max="2" width="12.81640625" bestFit="1" customWidth="1"/>
    <col min="3" max="4" width="8.7265625" bestFit="1" customWidth="1"/>
    <col min="5" max="5" width="11.7265625" customWidth="1"/>
    <col min="6" max="6" width="12.81640625" bestFit="1" customWidth="1"/>
    <col min="7" max="8" width="11.54296875" customWidth="1"/>
    <col min="9" max="9" width="11.453125" customWidth="1"/>
    <col min="10" max="10" width="12.81640625" bestFit="1" customWidth="1"/>
    <col min="11" max="11" width="11.26953125" bestFit="1" customWidth="1"/>
    <col min="12" max="12" width="10.1796875" customWidth="1"/>
    <col min="13" max="13" width="11.7265625" customWidth="1"/>
    <col min="14" max="14" width="12.81640625" bestFit="1" customWidth="1"/>
    <col min="15" max="16" width="11.26953125" bestFit="1" customWidth="1"/>
    <col min="17" max="21" width="12.54296875" customWidth="1"/>
    <col min="22" max="22" width="12.81640625" bestFit="1" customWidth="1"/>
    <col min="23" max="24" width="11.453125" customWidth="1"/>
    <col min="25" max="29" width="13" customWidth="1"/>
    <col min="30" max="30" width="12.81640625" bestFit="1" customWidth="1"/>
    <col min="31" max="32" width="11.26953125" bestFit="1" customWidth="1"/>
    <col min="33" max="33" width="10.26953125" bestFit="1" customWidth="1"/>
  </cols>
  <sheetData>
    <row r="1" spans="1:33" ht="18.5" thickBot="1">
      <c r="A1" s="750" t="s">
        <v>152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  <c r="Z1" s="228"/>
      <c r="AA1" s="228"/>
      <c r="AB1" s="228"/>
      <c r="AC1" s="228"/>
    </row>
    <row r="2" spans="1:33" ht="13.5" thickBot="1">
      <c r="A2" s="229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200</v>
      </c>
      <c r="AA2" s="744"/>
      <c r="AB2" s="744"/>
      <c r="AC2" s="746"/>
      <c r="AD2" s="744" t="s">
        <v>196</v>
      </c>
      <c r="AE2" s="744"/>
      <c r="AF2" s="744"/>
      <c r="AG2" s="746"/>
    </row>
    <row r="3" spans="1:33" ht="13">
      <c r="A3" s="55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3"/>
      <c r="R3" s="745" t="s">
        <v>118</v>
      </c>
      <c r="S3" s="752"/>
      <c r="T3" s="752"/>
      <c r="U3" s="753"/>
      <c r="V3" s="756"/>
      <c r="W3" s="756"/>
      <c r="X3" s="756"/>
      <c r="Y3" s="757"/>
      <c r="Z3" s="755"/>
      <c r="AA3" s="756"/>
      <c r="AB3" s="756"/>
      <c r="AC3" s="757"/>
      <c r="AD3" s="756"/>
      <c r="AE3" s="756"/>
      <c r="AF3" s="756"/>
      <c r="AG3" s="757"/>
    </row>
    <row r="4" spans="1:33" ht="13.5" thickBot="1">
      <c r="A4" s="232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4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  <c r="V4" s="233" t="s">
        <v>36</v>
      </c>
      <c r="W4" s="233" t="s">
        <v>37</v>
      </c>
      <c r="X4" s="233" t="s">
        <v>38</v>
      </c>
      <c r="Y4" s="234" t="s">
        <v>41</v>
      </c>
      <c r="Z4" s="232" t="s">
        <v>36</v>
      </c>
      <c r="AA4" s="233" t="s">
        <v>37</v>
      </c>
      <c r="AB4" s="233" t="s">
        <v>38</v>
      </c>
      <c r="AC4" s="234" t="s">
        <v>41</v>
      </c>
      <c r="AD4" s="233" t="s">
        <v>36</v>
      </c>
      <c r="AE4" s="233" t="s">
        <v>37</v>
      </c>
      <c r="AF4" s="233" t="s">
        <v>38</v>
      </c>
      <c r="AG4" s="234" t="s">
        <v>41</v>
      </c>
    </row>
    <row r="5" spans="1:33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  <c r="AD5" s="6" t="s">
        <v>42</v>
      </c>
      <c r="AE5" s="6" t="s">
        <v>42</v>
      </c>
      <c r="AF5" s="6" t="s">
        <v>42</v>
      </c>
      <c r="AG5" s="7" t="s">
        <v>43</v>
      </c>
    </row>
    <row r="6" spans="1:33" ht="1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104"/>
      <c r="AA6" s="8"/>
      <c r="AB6" s="8"/>
      <c r="AC6" s="9"/>
      <c r="AD6" s="8"/>
      <c r="AE6" s="8"/>
      <c r="AF6" s="8"/>
      <c r="AG6" s="9"/>
    </row>
    <row r="7" spans="1:33" ht="13">
      <c r="A7" s="124" t="s">
        <v>5</v>
      </c>
      <c r="B7" s="109">
        <f>'Sch AL-TOU Cust Fcst'!$B6*'Non-Residential TSM UC Adj'!B7</f>
        <v>1164.1219422621439</v>
      </c>
      <c r="C7" s="23">
        <f>'Sch AL-TOU Cust Fcst'!$B6*'Non-Residential TSM UC Adj'!C7</f>
        <v>448.66848781064141</v>
      </c>
      <c r="D7" s="23">
        <f>'Sch AL-TOU Cust Fcst'!$B6*'Non-Residential TSM UC Adj'!D7</f>
        <v>937.1989262415035</v>
      </c>
      <c r="E7" s="41">
        <f>IF(SUM(B7:D7)=0,0,SUM(B7:D7)/'Sch AL-TOU Cust Fcst'!B6)</f>
        <v>637.49733907857217</v>
      </c>
      <c r="F7" s="109">
        <f>'Sch AL-TOU Cust Fcst'!$C6*'Non-Residential TSM UC Adj'!F7</f>
        <v>0</v>
      </c>
      <c r="G7" s="23">
        <f>'Sch AL-TOU Cust Fcst'!$C6*'Non-Residential TSM UC Adj'!G7</f>
        <v>0</v>
      </c>
      <c r="H7" s="23">
        <f>'Sch AL-TOU Cust Fcst'!$C6*'Non-Residential TSM UC Adj'!H7</f>
        <v>0</v>
      </c>
      <c r="I7" s="41">
        <f>IF(SUM(F7:H7)=0,0,SUM(F7:H7)/'Sch AL-TOU Cust Fcst'!C6)</f>
        <v>0</v>
      </c>
      <c r="J7" s="109">
        <f>'Sch AL-TOU Cust Fcst'!$D6*'Non-Residential TSM UC Adj'!J7</f>
        <v>706.87118474133399</v>
      </c>
      <c r="K7" s="23">
        <f>'Sch AL-TOU Cust Fcst'!$D6*'Non-Residential TSM UC Adj'!K7</f>
        <v>1219.6406502013074</v>
      </c>
      <c r="L7" s="23">
        <f>'Sch AL-TOU Cust Fcst'!$D6*'Non-Residential TSM UC Adj'!L7</f>
        <v>603.52699792028352</v>
      </c>
      <c r="M7" s="41">
        <f>IF(SUM(J7:L7)=0,0,SUM(J7:L7)/'Sch AL-TOU Cust Fcst'!D6)</f>
        <v>1265.0194164314626</v>
      </c>
      <c r="N7" s="109">
        <f>'Sch AL-TOU Cust Fcst'!$E6*'Non-Residential TSM UC Adj'!N7</f>
        <v>0</v>
      </c>
      <c r="O7" s="23">
        <f>'Sch AL-TOU Cust Fcst'!$E6*'Non-Residential TSM UC Adj'!O7</f>
        <v>0</v>
      </c>
      <c r="P7" s="23">
        <f>'Sch AL-TOU Cust Fcst'!$E6*'Non-Residential TSM UC Adj'!P7</f>
        <v>0</v>
      </c>
      <c r="Q7" s="41">
        <f>IF(SUM(N7:P7)=0,0,SUM(N7:P7)/'Sch AL-TOU Cust Fcst'!E6)</f>
        <v>0</v>
      </c>
      <c r="R7" s="109">
        <f>B7+F7+J7+N7</f>
        <v>1870.9931270034779</v>
      </c>
      <c r="S7" s="23">
        <f t="shared" ref="S7:T22" si="0">C7+G7+K7+O7</f>
        <v>1668.3091380119488</v>
      </c>
      <c r="T7" s="23">
        <f t="shared" si="0"/>
        <v>1540.7259241617871</v>
      </c>
      <c r="U7" s="41">
        <f>IF(SUM(R7:T7)=0,0,SUM(R7:T7)/'Sch AL-TOU Cust Fcst'!F6)</f>
        <v>846.67136486286893</v>
      </c>
      <c r="V7" s="33">
        <f>'Sch AL-TOU Cust Fcst'!$G6*'Non-Residential TSM UC Adj'!R7</f>
        <v>0</v>
      </c>
      <c r="W7" s="33">
        <f>'Sch AL-TOU Cust Fcst'!$G6*'Non-Residential TSM UC Adj'!S7</f>
        <v>0</v>
      </c>
      <c r="X7" s="33">
        <f>'Sch AL-TOU Cust Fcst'!$G6*'Non-Residential TSM UC Adj'!T7</f>
        <v>0</v>
      </c>
      <c r="Y7" s="41">
        <f>IF(SUM(V7:X7)=0,0,SUM(V7:X7)/'Sch AL-TOU Cust Fcst'!G6)</f>
        <v>0</v>
      </c>
      <c r="Z7" s="33">
        <f>'Sch AL-TOU Cust Fcst'!$H6*'Non-Residential TSM UC Adj'!R7</f>
        <v>0</v>
      </c>
      <c r="AA7" s="33">
        <f>'Sch AL-TOU Cust Fcst'!$H6*'Non-Residential TSM UC Adj'!W7</f>
        <v>0</v>
      </c>
      <c r="AB7" s="33">
        <f>'Sch AL-TOU Cust Fcst'!$H6*'Non-Residential TSM UC Adj'!X7</f>
        <v>0</v>
      </c>
      <c r="AC7" s="41">
        <f>IF(SUM(Z7:AB7)=0,0,SUM(Z7:AB7)/'Sch AL-TOU Cust Fcst'!H6)</f>
        <v>0</v>
      </c>
      <c r="AD7" s="23">
        <f>R7+V7+Z7</f>
        <v>1870.9931270034779</v>
      </c>
      <c r="AE7" s="23">
        <f t="shared" ref="AE7:AF22" si="1">S7+W7+AA7</f>
        <v>1668.3091380119488</v>
      </c>
      <c r="AF7" s="23">
        <f t="shared" si="1"/>
        <v>1540.7259241617871</v>
      </c>
      <c r="AG7" s="41">
        <f>IF(SUM(AD7:AF7)=0,0,SUM(AD7:AF7)/'Sch AL-TOU Cust Fcst'!I6)</f>
        <v>846.67136486286893</v>
      </c>
    </row>
    <row r="8" spans="1:33" ht="13">
      <c r="A8" s="125" t="s">
        <v>6</v>
      </c>
      <c r="B8" s="109">
        <f>'Sch AL-TOU Cust Fcst'!$B7*'Non-Residential TSM UC Adj'!B8</f>
        <v>4365.4572834830396</v>
      </c>
      <c r="C8" s="23">
        <f>'Sch AL-TOU Cust Fcst'!$B7*'Non-Residential TSM UC Adj'!C8</f>
        <v>560.83560976330182</v>
      </c>
      <c r="D8" s="23">
        <f>'Sch AL-TOU Cust Fcst'!$B7*'Non-Residential TSM UC Adj'!D8</f>
        <v>1171.4986578018793</v>
      </c>
      <c r="E8" s="41">
        <f>IF(SUM(B8:D8)=0,0,SUM(B8:D8)/'Sch AL-TOU Cust Fcst'!B7)</f>
        <v>1219.5583102096443</v>
      </c>
      <c r="F8" s="109">
        <f>'Sch AL-TOU Cust Fcst'!$C7*'Non-Residential TSM UC Adj'!F8</f>
        <v>0</v>
      </c>
      <c r="G8" s="23">
        <f>'Sch AL-TOU Cust Fcst'!$C7*'Non-Residential TSM UC Adj'!G8</f>
        <v>0</v>
      </c>
      <c r="H8" s="23">
        <f>'Sch AL-TOU Cust Fcst'!$C7*'Non-Residential TSM UC Adj'!H8</f>
        <v>0</v>
      </c>
      <c r="I8" s="41">
        <f>IF(SUM(F8:H8)=0,0,SUM(F8:H8)/'Sch AL-TOU Cust Fcst'!C7)</f>
        <v>0</v>
      </c>
      <c r="J8" s="109">
        <f>'Sch AL-TOU Cust Fcst'!$D7*'Non-Residential TSM UC Adj'!J8</f>
        <v>1060.3067771120011</v>
      </c>
      <c r="K8" s="23">
        <f>'Sch AL-TOU Cust Fcst'!$D7*'Non-Residential TSM UC Adj'!K8</f>
        <v>609.82032510065369</v>
      </c>
      <c r="L8" s="23">
        <f>'Sch AL-TOU Cust Fcst'!$D7*'Non-Residential TSM UC Adj'!L8</f>
        <v>301.76349896014176</v>
      </c>
      <c r="M8" s="41">
        <f>IF(SUM(J8:L8)=0,0,SUM(J8:L8)/'Sch AL-TOU Cust Fcst'!D7)</f>
        <v>1971.8906011727966</v>
      </c>
      <c r="N8" s="109">
        <f>'Sch AL-TOU Cust Fcst'!$E7*'Non-Residential TSM UC Adj'!N8</f>
        <v>0</v>
      </c>
      <c r="O8" s="23">
        <f>'Sch AL-TOU Cust Fcst'!$E7*'Non-Residential TSM UC Adj'!O8</f>
        <v>0</v>
      </c>
      <c r="P8" s="23">
        <f>'Sch AL-TOU Cust Fcst'!$E7*'Non-Residential TSM UC Adj'!P8</f>
        <v>0</v>
      </c>
      <c r="Q8" s="41">
        <f>IF(SUM(N8:P8)=0,0,SUM(N8:P8)/'Sch AL-TOU Cust Fcst'!E7)</f>
        <v>0</v>
      </c>
      <c r="R8" s="109">
        <f t="shared" ref="R8:T37" si="2">B8+F8+J8+N8</f>
        <v>5425.764060595041</v>
      </c>
      <c r="S8" s="23">
        <f t="shared" si="0"/>
        <v>1170.6559348639555</v>
      </c>
      <c r="T8" s="23">
        <f t="shared" si="0"/>
        <v>1473.262156762021</v>
      </c>
      <c r="U8" s="41">
        <f>IF(SUM(R8:T8)=0,0,SUM(R8:T8)/'Sch AL-TOU Cust Fcst'!F7)</f>
        <v>1344.9470253701695</v>
      </c>
      <c r="V8" s="33">
        <f>'Sch AL-TOU Cust Fcst'!$G7*'Non-Residential TSM UC Adj'!R8</f>
        <v>0</v>
      </c>
      <c r="W8" s="33">
        <f>'Sch AL-TOU Cust Fcst'!$G7*'Non-Residential TSM UC Adj'!S8</f>
        <v>3129.9273129422195</v>
      </c>
      <c r="X8" s="33">
        <f>'Sch AL-TOU Cust Fcst'!$G7*'Non-Residential TSM UC Adj'!T8</f>
        <v>865.67585029149416</v>
      </c>
      <c r="Y8" s="41">
        <f>IF(SUM(V8:X8)=0,0,SUM(V8:X8)/'Sch AL-TOU Cust Fcst'!G7)</f>
        <v>3995.6031632337135</v>
      </c>
      <c r="Z8" s="33">
        <f>'Sch AL-TOU Cust Fcst'!$H7*'Non-Residential TSM UC Adj'!R8</f>
        <v>0</v>
      </c>
      <c r="AA8" s="33">
        <f>'Sch AL-TOU Cust Fcst'!$H7*'Non-Residential TSM UC Adj'!W8</f>
        <v>0</v>
      </c>
      <c r="AB8" s="33">
        <f>'Sch AL-TOU Cust Fcst'!$H7*'Non-Residential TSM UC Adj'!X8</f>
        <v>0</v>
      </c>
      <c r="AC8" s="41">
        <f>IF(SUM(Z8:AB8)=0,0,SUM(Z8:AB8)/'Sch AL-TOU Cust Fcst'!H7)</f>
        <v>0</v>
      </c>
      <c r="AD8" s="23">
        <f t="shared" ref="AD8:AD37" si="3">R8+V8+Z8</f>
        <v>5425.764060595041</v>
      </c>
      <c r="AE8" s="23">
        <f t="shared" si="1"/>
        <v>4300.5832478061748</v>
      </c>
      <c r="AF8" s="23">
        <f t="shared" si="1"/>
        <v>2338.9380070535153</v>
      </c>
      <c r="AG8" s="41">
        <f>IF(SUM(AD8:AF8)=0,0,SUM(AD8:AF8)/'Sch AL-TOU Cust Fcst'!I7)</f>
        <v>1723.6121879221043</v>
      </c>
    </row>
    <row r="9" spans="1:33" ht="13">
      <c r="A9" s="126" t="s">
        <v>7</v>
      </c>
      <c r="B9" s="109">
        <f>'Sch AL-TOU Cust Fcst'!$B8*'Non-Residential TSM UC Adj'!B9</f>
        <v>1746.1829133932158</v>
      </c>
      <c r="C9" s="23">
        <f>'Sch AL-TOU Cust Fcst'!$B8*'Non-Residential TSM UC Adj'!C9</f>
        <v>316.20928754290622</v>
      </c>
      <c r="D9" s="23">
        <f>'Sch AL-TOU Cust Fcst'!$B8*'Non-Residential TSM UC Adj'!D9</f>
        <v>468.59946312075175</v>
      </c>
      <c r="E9" s="41">
        <f>IF(SUM(B9:D9)=0,0,SUM(B9:D9)/'Sch AL-TOU Cust Fcst'!B8)</f>
        <v>1265.495832028437</v>
      </c>
      <c r="F9" s="109">
        <f>'Sch AL-TOU Cust Fcst'!$C8*'Non-Residential TSM UC Adj'!F9</f>
        <v>4033.6373121128622</v>
      </c>
      <c r="G9" s="23">
        <f>'Sch AL-TOU Cust Fcst'!$C8*'Non-Residential TSM UC Adj'!G9</f>
        <v>1436.5838382290649</v>
      </c>
      <c r="H9" s="23">
        <f>'Sch AL-TOU Cust Fcst'!$C8*'Non-Residential TSM UC Adj'!H9</f>
        <v>603.52699792028352</v>
      </c>
      <c r="I9" s="41">
        <f>IF(SUM(F9:H9)=0,0,SUM(F9:H9)/'Sch AL-TOU Cust Fcst'!C8)</f>
        <v>3036.8740741311058</v>
      </c>
      <c r="J9" s="109">
        <f>'Sch AL-TOU Cust Fcst'!$D8*'Non-Residential TSM UC Adj'!J9</f>
        <v>6361.8406626720061</v>
      </c>
      <c r="K9" s="23">
        <f>'Sch AL-TOU Cust Fcst'!$D8*'Non-Residential TSM UC Adj'!K9</f>
        <v>2154.8757573435973</v>
      </c>
      <c r="L9" s="23">
        <f>'Sch AL-TOU Cust Fcst'!$D8*'Non-Residential TSM UC Adj'!L9</f>
        <v>905.29049688042528</v>
      </c>
      <c r="M9" s="41">
        <f>IF(SUM(J9:L9)=0,0,SUM(J9:L9)/'Sch AL-TOU Cust Fcst'!D8)</f>
        <v>3140.6689722986762</v>
      </c>
      <c r="N9" s="109">
        <f>'Sch AL-TOU Cust Fcst'!$E8*'Non-Residential TSM UC Adj'!N9</f>
        <v>0</v>
      </c>
      <c r="O9" s="23">
        <f>'Sch AL-TOU Cust Fcst'!$E8*'Non-Residential TSM UC Adj'!O9</f>
        <v>0</v>
      </c>
      <c r="P9" s="23">
        <f>'Sch AL-TOU Cust Fcst'!$E8*'Non-Residential TSM UC Adj'!P9</f>
        <v>0</v>
      </c>
      <c r="Q9" s="41">
        <f>IF(SUM(N9:P9)=0,0,SUM(N9:P9)/'Sch AL-TOU Cust Fcst'!E8)</f>
        <v>0</v>
      </c>
      <c r="R9" s="109">
        <f t="shared" si="2"/>
        <v>12141.660888178085</v>
      </c>
      <c r="S9" s="23">
        <f t="shared" si="0"/>
        <v>3907.6688831155684</v>
      </c>
      <c r="T9" s="23">
        <f t="shared" si="0"/>
        <v>1977.4169579214606</v>
      </c>
      <c r="U9" s="41">
        <f>IF(SUM(R9:T9)=0,0,SUM(R9:T9)/'Sch AL-TOU Cust Fcst'!F8)</f>
        <v>2575.249532745016</v>
      </c>
      <c r="V9" s="33">
        <f>'Sch AL-TOU Cust Fcst'!$G8*'Non-Residential TSM UC Adj'!R9</f>
        <v>0</v>
      </c>
      <c r="W9" s="33">
        <f>'Sch AL-TOU Cust Fcst'!$G8*'Non-Residential TSM UC Adj'!S9</f>
        <v>0</v>
      </c>
      <c r="X9" s="33">
        <f>'Sch AL-TOU Cust Fcst'!$G8*'Non-Residential TSM UC Adj'!T9</f>
        <v>0</v>
      </c>
      <c r="Y9" s="41">
        <f>IF(SUM(V9:X9)=0,0,SUM(V9:X9)/'Sch AL-TOU Cust Fcst'!G8)</f>
        <v>0</v>
      </c>
      <c r="Z9" s="33">
        <f>'Sch AL-TOU Cust Fcst'!$H8*'Non-Residential TSM UC Adj'!R9</f>
        <v>0</v>
      </c>
      <c r="AA9" s="33">
        <f>'Sch AL-TOU Cust Fcst'!$H8*'Non-Residential TSM UC Adj'!W9</f>
        <v>0</v>
      </c>
      <c r="AB9" s="33">
        <f>'Sch AL-TOU Cust Fcst'!$H8*'Non-Residential TSM UC Adj'!X9</f>
        <v>0</v>
      </c>
      <c r="AC9" s="41">
        <f>IF(SUM(Z9:AB9)=0,0,SUM(Z9:AB9)/'Sch AL-TOU Cust Fcst'!H8)</f>
        <v>0</v>
      </c>
      <c r="AD9" s="23">
        <f t="shared" si="3"/>
        <v>12141.660888178085</v>
      </c>
      <c r="AE9" s="23">
        <f t="shared" si="1"/>
        <v>3907.6688831155684</v>
      </c>
      <c r="AF9" s="23">
        <f t="shared" si="1"/>
        <v>1977.4169579214606</v>
      </c>
      <c r="AG9" s="41">
        <f>IF(SUM(AD9:AF9)=0,0,SUM(AD9:AF9)/'Sch AL-TOU Cust Fcst'!I8)</f>
        <v>2575.249532745016</v>
      </c>
    </row>
    <row r="10" spans="1:33" ht="13">
      <c r="A10" s="126" t="s">
        <v>105</v>
      </c>
      <c r="B10" s="109">
        <f>'Sch AL-TOU Cust Fcst'!$B9*'Non-Residential TSM UC Adj'!B10</f>
        <v>8730.9145669660793</v>
      </c>
      <c r="C10" s="23">
        <f>'Sch AL-TOU Cust Fcst'!$B9*'Non-Residential TSM UC Adj'!C10</f>
        <v>691.31738311329025</v>
      </c>
      <c r="D10" s="23">
        <f>'Sch AL-TOU Cust Fcst'!$B9*'Non-Residential TSM UC Adj'!D10</f>
        <v>937.1989262415035</v>
      </c>
      <c r="E10" s="41">
        <f>IF(SUM(B10:D10)=0,0,SUM(B10:D10)/'Sch AL-TOU Cust Fcst'!B9)</f>
        <v>2589.857719080218</v>
      </c>
      <c r="F10" s="109">
        <f>'Sch AL-TOU Cust Fcst'!$C9*'Non-Residential TSM UC Adj'!F10</f>
        <v>0</v>
      </c>
      <c r="G10" s="23">
        <f>'Sch AL-TOU Cust Fcst'!$C9*'Non-Residential TSM UC Adj'!G10</f>
        <v>0</v>
      </c>
      <c r="H10" s="23">
        <f>'Sch AL-TOU Cust Fcst'!$C9*'Non-Residential TSM UC Adj'!H10</f>
        <v>0</v>
      </c>
      <c r="I10" s="41">
        <f>IF(SUM(F10:H10)=0,0,SUM(F10:H10)/'Sch AL-TOU Cust Fcst'!C9)</f>
        <v>0</v>
      </c>
      <c r="J10" s="109">
        <f>'Sch AL-TOU Cust Fcst'!$D9*'Non-Residential TSM UC Adj'!J10</f>
        <v>9896.1965863786772</v>
      </c>
      <c r="K10" s="23">
        <f>'Sch AL-TOU Cust Fcst'!$D9*'Non-Residential TSM UC Adj'!K10</f>
        <v>1436.5838382290649</v>
      </c>
      <c r="L10" s="23">
        <f>'Sch AL-TOU Cust Fcst'!$D9*'Non-Residential TSM UC Adj'!L10</f>
        <v>603.52699792028352</v>
      </c>
      <c r="M10" s="41">
        <f>IF(SUM(J10:L10)=0,0,SUM(J10:L10)/'Sch AL-TOU Cust Fcst'!D9)</f>
        <v>5968.1537112640135</v>
      </c>
      <c r="N10" s="109">
        <f>'Sch AL-TOU Cust Fcst'!$E9*'Non-Residential TSM UC Adj'!N10</f>
        <v>5836.7948491438538</v>
      </c>
      <c r="O10" s="23">
        <f>'Sch AL-TOU Cust Fcst'!$E9*'Non-Residential TSM UC Adj'!O10</f>
        <v>718.29191911453245</v>
      </c>
      <c r="P10" s="23">
        <f>'Sch AL-TOU Cust Fcst'!$E9*'Non-Residential TSM UC Adj'!P10</f>
        <v>301.76349896014176</v>
      </c>
      <c r="Q10" s="41">
        <f>IF(SUM(N10:P10)=0,0,SUM(N10:P10)/'Sch AL-TOU Cust Fcst'!E9)</f>
        <v>6856.8502672185286</v>
      </c>
      <c r="R10" s="109">
        <f t="shared" si="2"/>
        <v>24463.906002488609</v>
      </c>
      <c r="S10" s="23">
        <f t="shared" si="0"/>
        <v>2846.1931404568877</v>
      </c>
      <c r="T10" s="23">
        <f t="shared" si="0"/>
        <v>1842.4894231219289</v>
      </c>
      <c r="U10" s="41">
        <f>IF(SUM(R10:T10)=0,0,SUM(R10:T10)/'Sch AL-TOU Cust Fcst'!F9)</f>
        <v>4164.6555094382038</v>
      </c>
      <c r="V10" s="33">
        <f>'Sch AL-TOU Cust Fcst'!$G9*'Non-Residential TSM UC Adj'!R10</f>
        <v>0</v>
      </c>
      <c r="W10" s="33">
        <f>'Sch AL-TOU Cust Fcst'!$G9*'Non-Residential TSM UC Adj'!S10</f>
        <v>0</v>
      </c>
      <c r="X10" s="33">
        <f>'Sch AL-TOU Cust Fcst'!$G9*'Non-Residential TSM UC Adj'!T10</f>
        <v>0</v>
      </c>
      <c r="Y10" s="41">
        <f>IF(SUM(V10:X10)=0,0,SUM(V10:X10)/'Sch AL-TOU Cust Fcst'!G9)</f>
        <v>0</v>
      </c>
      <c r="Z10" s="33">
        <f>'Sch AL-TOU Cust Fcst'!$H9*'Non-Residential TSM UC Adj'!R10</f>
        <v>0</v>
      </c>
      <c r="AA10" s="33">
        <f>'Sch AL-TOU Cust Fcst'!$H9*'Non-Residential TSM UC Adj'!W10</f>
        <v>0</v>
      </c>
      <c r="AB10" s="33">
        <f>'Sch AL-TOU Cust Fcst'!$H9*'Non-Residential TSM UC Adj'!X10</f>
        <v>0</v>
      </c>
      <c r="AC10" s="41">
        <f>IF(SUM(Z10:AB10)=0,0,SUM(Z10:AB10)/'Sch AL-TOU Cust Fcst'!H9)</f>
        <v>0</v>
      </c>
      <c r="AD10" s="23">
        <f t="shared" si="3"/>
        <v>24463.906002488609</v>
      </c>
      <c r="AE10" s="23">
        <f t="shared" si="1"/>
        <v>2846.1931404568877</v>
      </c>
      <c r="AF10" s="23">
        <f t="shared" si="1"/>
        <v>1842.4894231219289</v>
      </c>
      <c r="AG10" s="41">
        <f>IF(SUM(AD10:AF10)=0,0,SUM(AD10:AF10)/'Sch AL-TOU Cust Fcst'!I9)</f>
        <v>4164.6555094382038</v>
      </c>
    </row>
    <row r="11" spans="1:33" ht="13">
      <c r="A11" s="126" t="s">
        <v>97</v>
      </c>
      <c r="B11" s="109">
        <f>'Sch AL-TOU Cust Fcst'!$B10*'Non-Residential TSM UC Adj'!B11</f>
        <v>8730.9145669660793</v>
      </c>
      <c r="C11" s="23">
        <f>'Sch AL-TOU Cust Fcst'!$B10*'Non-Residential TSM UC Adj'!C11</f>
        <v>691.31738311329025</v>
      </c>
      <c r="D11" s="23">
        <f>'Sch AL-TOU Cust Fcst'!$B10*'Non-Residential TSM UC Adj'!D11</f>
        <v>937.1989262415035</v>
      </c>
      <c r="E11" s="41">
        <f>IF(SUM(B11:D11)=0,0,SUM(B11:D11)/'Sch AL-TOU Cust Fcst'!B10)</f>
        <v>2589.857719080218</v>
      </c>
      <c r="F11" s="109">
        <f>'Sch AL-TOU Cust Fcst'!$C10*'Non-Residential TSM UC Adj'!F11</f>
        <v>9411.8203949300114</v>
      </c>
      <c r="G11" s="23">
        <f>'Sch AL-TOU Cust Fcst'!$C10*'Non-Residential TSM UC Adj'!G11</f>
        <v>1436.5838382290649</v>
      </c>
      <c r="H11" s="23">
        <f>'Sch AL-TOU Cust Fcst'!$C10*'Non-Residential TSM UC Adj'!H11</f>
        <v>603.52699792028352</v>
      </c>
      <c r="I11" s="41">
        <f>IF(SUM(F11:H11)=0,0,SUM(F11:H11)/'Sch AL-TOU Cust Fcst'!C10)</f>
        <v>5725.9656155396797</v>
      </c>
      <c r="J11" s="109">
        <f>'Sch AL-TOU Cust Fcst'!$D10*'Non-Residential TSM UC Adj'!J11</f>
        <v>24740.491465946692</v>
      </c>
      <c r="K11" s="23">
        <f>'Sch AL-TOU Cust Fcst'!$D10*'Non-Residential TSM UC Adj'!K11</f>
        <v>3591.4595955726622</v>
      </c>
      <c r="L11" s="23">
        <f>'Sch AL-TOU Cust Fcst'!$D10*'Non-Residential TSM UC Adj'!L11</f>
        <v>1508.8174948007088</v>
      </c>
      <c r="M11" s="41">
        <f>IF(SUM(J11:L11)=0,0,SUM(J11:L11)/'Sch AL-TOU Cust Fcst'!D10)</f>
        <v>5968.1537112640126</v>
      </c>
      <c r="N11" s="109">
        <f>'Sch AL-TOU Cust Fcst'!$E10*'Non-Residential TSM UC Adj'!N11</f>
        <v>5836.7948491438538</v>
      </c>
      <c r="O11" s="23">
        <f>'Sch AL-TOU Cust Fcst'!$E10*'Non-Residential TSM UC Adj'!O11</f>
        <v>718.29191911453245</v>
      </c>
      <c r="P11" s="23">
        <f>'Sch AL-TOU Cust Fcst'!$E10*'Non-Residential TSM UC Adj'!P11</f>
        <v>301.76349896014176</v>
      </c>
      <c r="Q11" s="41">
        <f>IF(SUM(N11:P11)=0,0,SUM(N11:P11)/'Sch AL-TOU Cust Fcst'!E10)</f>
        <v>6856.8502672185286</v>
      </c>
      <c r="R11" s="109">
        <f t="shared" si="2"/>
        <v>48720.021276986634</v>
      </c>
      <c r="S11" s="23">
        <f t="shared" si="0"/>
        <v>6437.6527360295495</v>
      </c>
      <c r="T11" s="23">
        <f t="shared" si="0"/>
        <v>3351.3069179226377</v>
      </c>
      <c r="U11" s="41">
        <f>IF(SUM(R11:T11)=0,0,SUM(R11:T11)/'Sch AL-TOU Cust Fcst'!F10)</f>
        <v>4875.7484109115685</v>
      </c>
      <c r="V11" s="33">
        <f>'Sch AL-TOU Cust Fcst'!$G10*'Non-Residential TSM UC Adj'!R11</f>
        <v>0</v>
      </c>
      <c r="W11" s="33">
        <f>'Sch AL-TOU Cust Fcst'!$G10*'Non-Residential TSM UC Adj'!S11</f>
        <v>0</v>
      </c>
      <c r="X11" s="33">
        <f>'Sch AL-TOU Cust Fcst'!$G10*'Non-Residential TSM UC Adj'!T11</f>
        <v>0</v>
      </c>
      <c r="Y11" s="41">
        <f>IF(SUM(V11:X11)=0,0,SUM(V11:X11)/'Sch AL-TOU Cust Fcst'!G10)</f>
        <v>0</v>
      </c>
      <c r="Z11" s="33">
        <f>'Sch AL-TOU Cust Fcst'!$H10*'Non-Residential TSM UC Adj'!R11</f>
        <v>0</v>
      </c>
      <c r="AA11" s="33">
        <f>'Sch AL-TOU Cust Fcst'!$H10*'Non-Residential TSM UC Adj'!W11</f>
        <v>0</v>
      </c>
      <c r="AB11" s="33">
        <f>'Sch AL-TOU Cust Fcst'!$H10*'Non-Residential TSM UC Adj'!X11</f>
        <v>0</v>
      </c>
      <c r="AC11" s="41">
        <f>IF(SUM(Z11:AB11)=0,0,SUM(Z11:AB11)/'Sch AL-TOU Cust Fcst'!H10)</f>
        <v>0</v>
      </c>
      <c r="AD11" s="23">
        <f t="shared" si="3"/>
        <v>48720.021276986634</v>
      </c>
      <c r="AE11" s="23">
        <f t="shared" si="1"/>
        <v>6437.6527360295495</v>
      </c>
      <c r="AF11" s="23">
        <f t="shared" si="1"/>
        <v>3351.3069179226377</v>
      </c>
      <c r="AG11" s="41">
        <f>IF(SUM(AD11:AF11)=0,0,SUM(AD11:AF11)/'Sch AL-TOU Cust Fcst'!I10)</f>
        <v>4875.7484109115685</v>
      </c>
    </row>
    <row r="12" spans="1:33" ht="13">
      <c r="A12" s="126" t="s">
        <v>8</v>
      </c>
      <c r="B12" s="109">
        <f>'Sch AL-TOU Cust Fcst'!$B11*'Non-Residential TSM UC Adj'!B12</f>
        <v>121942.43341076253</v>
      </c>
      <c r="C12" s="23">
        <f>'Sch AL-TOU Cust Fcst'!$B11*'Non-Residential TSM UC Adj'!C12</f>
        <v>10833.366203245349</v>
      </c>
      <c r="D12" s="23">
        <f>'Sch AL-TOU Cust Fcst'!$B11*'Non-Residential TSM UC Adj'!D12</f>
        <v>6091.793020569773</v>
      </c>
      <c r="E12" s="41">
        <f>IF(SUM(B12:D12)=0,0,SUM(B12:D12)/'Sch AL-TOU Cust Fcst'!B11)</f>
        <v>5341.0612551760632</v>
      </c>
      <c r="F12" s="109">
        <f>'Sch AL-TOU Cust Fcst'!$C11*'Non-Residential TSM UC Adj'!F12</f>
        <v>84706.383554370099</v>
      </c>
      <c r="G12" s="23">
        <f>'Sch AL-TOU Cust Fcst'!$C11*'Non-Residential TSM UC Adj'!G12</f>
        <v>5611.4106428537398</v>
      </c>
      <c r="H12" s="23">
        <f>'Sch AL-TOU Cust Fcst'!$C11*'Non-Residential TSM UC Adj'!H12</f>
        <v>1810.5809937608506</v>
      </c>
      <c r="I12" s="41">
        <f>IF(SUM(F12:H12)=0,0,SUM(F12:H12)/'Sch AL-TOU Cust Fcst'!C11)</f>
        <v>15354.729198497449</v>
      </c>
      <c r="J12" s="109">
        <f>'Sch AL-TOU Cust Fcst'!$D11*'Non-Residential TSM UC Adj'!J12</f>
        <v>831280.51325580885</v>
      </c>
      <c r="K12" s="23">
        <f>'Sch AL-TOU Cust Fcst'!$D11*'Non-Residential TSM UC Adj'!K12</f>
        <v>52373.165999968238</v>
      </c>
      <c r="L12" s="23">
        <f>'Sch AL-TOU Cust Fcst'!$D11*'Non-Residential TSM UC Adj'!L12</f>
        <v>16898.755941767937</v>
      </c>
      <c r="M12" s="41">
        <f>IF(SUM(J12:L12)=0,0,SUM(J12:L12)/'Sch AL-TOU Cust Fcst'!D11)</f>
        <v>16081.293485670447</v>
      </c>
      <c r="N12" s="109">
        <f>'Sch AL-TOU Cust Fcst'!$E11*'Non-Residential TSM UC Adj'!N12</f>
        <v>70041.538189726241</v>
      </c>
      <c r="O12" s="23">
        <f>'Sch AL-TOU Cust Fcst'!$E11*'Non-Residential TSM UC Adj'!O12</f>
        <v>11222.82128570748</v>
      </c>
      <c r="P12" s="23">
        <f>'Sch AL-TOU Cust Fcst'!$E11*'Non-Residential TSM UC Adj'!P12</f>
        <v>3621.1619875217011</v>
      </c>
      <c r="Q12" s="41">
        <f>IF(SUM(N12:P12)=0,0,SUM(N12:P12)/'Sch AL-TOU Cust Fcst'!E11)</f>
        <v>7073.7934552462857</v>
      </c>
      <c r="R12" s="109">
        <f t="shared" si="2"/>
        <v>1107970.8684106676</v>
      </c>
      <c r="S12" s="23">
        <f t="shared" si="0"/>
        <v>80040.764131774806</v>
      </c>
      <c r="T12" s="23">
        <f t="shared" si="0"/>
        <v>28422.291943620261</v>
      </c>
      <c r="U12" s="41">
        <f>IF(SUM(R12:T12)=0,0,SUM(R12:T12)/'Sch AL-TOU Cust Fcst'!F11)</f>
        <v>12164.339244860626</v>
      </c>
      <c r="V12" s="33">
        <f>'Sch AL-TOU Cust Fcst'!$G11*'Non-Residential TSM UC Adj'!R12</f>
        <v>0</v>
      </c>
      <c r="W12" s="33">
        <f>'Sch AL-TOU Cust Fcst'!$G11*'Non-Residential TSM UC Adj'!S12</f>
        <v>6259.854625884439</v>
      </c>
      <c r="X12" s="33">
        <f>'Sch AL-TOU Cust Fcst'!$G11*'Non-Residential TSM UC Adj'!T12</f>
        <v>1731.3517005829883</v>
      </c>
      <c r="Y12" s="41">
        <f>IF(SUM(V12:X12)=0,0,SUM(V12:X12)/'Sch AL-TOU Cust Fcst'!G11)</f>
        <v>3995.6031632337135</v>
      </c>
      <c r="Z12" s="33">
        <f>'Sch AL-TOU Cust Fcst'!$H11*'Non-Residential TSM UC Adj'!R12</f>
        <v>0</v>
      </c>
      <c r="AA12" s="33">
        <f>'Sch AL-TOU Cust Fcst'!$H11*'Non-Residential TSM UC Adj'!W12</f>
        <v>0</v>
      </c>
      <c r="AB12" s="33">
        <f>'Sch AL-TOU Cust Fcst'!$H11*'Non-Residential TSM UC Adj'!X12</f>
        <v>0</v>
      </c>
      <c r="AC12" s="41">
        <f>IF(SUM(Z12:AB12)=0,0,SUM(Z12:AB12)/'Sch AL-TOU Cust Fcst'!H11)</f>
        <v>0</v>
      </c>
      <c r="AD12" s="23">
        <f t="shared" si="3"/>
        <v>1107970.8684106676</v>
      </c>
      <c r="AE12" s="23">
        <f t="shared" si="1"/>
        <v>86300.618757659249</v>
      </c>
      <c r="AF12" s="23">
        <f t="shared" si="1"/>
        <v>30153.64364420325</v>
      </c>
      <c r="AG12" s="41">
        <f>IF(SUM(AD12:AF12)=0,0,SUM(AD12:AF12)/'Sch AL-TOU Cust Fcst'!I11)</f>
        <v>12004.167949142453</v>
      </c>
    </row>
    <row r="13" spans="1:33" ht="13">
      <c r="A13" s="126" t="s">
        <v>9</v>
      </c>
      <c r="B13" s="109">
        <f>'Sch AL-TOU Cust Fcst'!$B12*'Non-Residential TSM UC Adj'!B13</f>
        <v>82401.294063634763</v>
      </c>
      <c r="C13" s="23">
        <f>'Sch AL-TOU Cust Fcst'!$B12*'Non-Residential TSM UC Adj'!C13</f>
        <v>10740.81637760139</v>
      </c>
      <c r="D13" s="23">
        <f>'Sch AL-TOU Cust Fcst'!$B12*'Non-Residential TSM UC Adj'!D13</f>
        <v>3748.795704966014</v>
      </c>
      <c r="E13" s="41">
        <f>IF(SUM(B13:D13)=0,0,SUM(B13:D13)/'Sch AL-TOU Cust Fcst'!B12)</f>
        <v>6055.6816341376352</v>
      </c>
      <c r="F13" s="109">
        <f>'Sch AL-TOU Cust Fcst'!$C12*'Non-Residential TSM UC Adj'!F13</f>
        <v>42353.191777185049</v>
      </c>
      <c r="G13" s="23">
        <f>'Sch AL-TOU Cust Fcst'!$C12*'Non-Residential TSM UC Adj'!G13</f>
        <v>4321.6498045209801</v>
      </c>
      <c r="H13" s="23">
        <f>'Sch AL-TOU Cust Fcst'!$C12*'Non-Residential TSM UC Adj'!H13</f>
        <v>905.29049688042528</v>
      </c>
      <c r="I13" s="41">
        <f>IF(SUM(F13:H13)=0,0,SUM(F13:H13)/'Sch AL-TOU Cust Fcst'!C12)</f>
        <v>15860.044026195486</v>
      </c>
      <c r="J13" s="109">
        <f>'Sch AL-TOU Cust Fcst'!$D12*'Non-Residential TSM UC Adj'!J13</f>
        <v>950034.87229235296</v>
      </c>
      <c r="K13" s="23">
        <f>'Sch AL-TOU Cust Fcst'!$D12*'Non-Residential TSM UC Adj'!K13</f>
        <v>92195.195829780903</v>
      </c>
      <c r="L13" s="23">
        <f>'Sch AL-TOU Cust Fcst'!$D12*'Non-Residential TSM UC Adj'!L13</f>
        <v>19312.863933449073</v>
      </c>
      <c r="M13" s="41">
        <f>IF(SUM(J13:L13)=0,0,SUM(J13:L13)/'Sch AL-TOU Cust Fcst'!D12)</f>
        <v>16586.608313368484</v>
      </c>
      <c r="N13" s="109">
        <f>'Sch AL-TOU Cust Fcst'!$E12*'Non-Residential TSM UC Adj'!N13</f>
        <v>113817.49955830513</v>
      </c>
      <c r="O13" s="23">
        <f>'Sch AL-TOU Cust Fcst'!$E12*'Non-Residential TSM UC Adj'!O13</f>
        <v>12158.056392849769</v>
      </c>
      <c r="P13" s="23">
        <f>'Sch AL-TOU Cust Fcst'!$E12*'Non-Residential TSM UC Adj'!P13</f>
        <v>3922.9254864818431</v>
      </c>
      <c r="Q13" s="41">
        <f>IF(SUM(N13:P13)=0,0,SUM(N13:P13)/'Sch AL-TOU Cust Fcst'!E12)</f>
        <v>9992.1908798182103</v>
      </c>
      <c r="R13" s="109">
        <f t="shared" si="2"/>
        <v>1188606.857691478</v>
      </c>
      <c r="S13" s="23">
        <f t="shared" si="0"/>
        <v>119415.71840475305</v>
      </c>
      <c r="T13" s="23">
        <f t="shared" si="0"/>
        <v>27889.875621777355</v>
      </c>
      <c r="U13" s="41">
        <f>IF(SUM(R13:T13)=0,0,SUM(R13:T13)/'Sch AL-TOU Cust Fcst'!F12)</f>
        <v>13915.754705395921</v>
      </c>
      <c r="V13" s="33">
        <f>'Sch AL-TOU Cust Fcst'!$G12*'Non-Residential TSM UC Adj'!R13</f>
        <v>0</v>
      </c>
      <c r="W13" s="33">
        <f>'Sch AL-TOU Cust Fcst'!$G12*'Non-Residential TSM UC Adj'!S13</f>
        <v>0</v>
      </c>
      <c r="X13" s="33">
        <f>'Sch AL-TOU Cust Fcst'!$G12*'Non-Residential TSM UC Adj'!T13</f>
        <v>0</v>
      </c>
      <c r="Y13" s="41">
        <f>IF(SUM(V13:X13)=0,0,SUM(V13:X13)/'Sch AL-TOU Cust Fcst'!G12)</f>
        <v>0</v>
      </c>
      <c r="Z13" s="33">
        <f>'Sch AL-TOU Cust Fcst'!$H12*'Non-Residential TSM UC Adj'!R13</f>
        <v>0</v>
      </c>
      <c r="AA13" s="33">
        <f>'Sch AL-TOU Cust Fcst'!$H12*'Non-Residential TSM UC Adj'!W13</f>
        <v>0</v>
      </c>
      <c r="AB13" s="33">
        <f>'Sch AL-TOU Cust Fcst'!$H12*'Non-Residential TSM UC Adj'!X13</f>
        <v>0</v>
      </c>
      <c r="AC13" s="41">
        <f>IF(SUM(Z13:AB13)=0,0,SUM(Z13:AB13)/'Sch AL-TOU Cust Fcst'!H12)</f>
        <v>0</v>
      </c>
      <c r="AD13" s="23">
        <f t="shared" si="3"/>
        <v>1188606.857691478</v>
      </c>
      <c r="AE13" s="23">
        <f t="shared" si="1"/>
        <v>119415.71840475305</v>
      </c>
      <c r="AF13" s="23">
        <f t="shared" si="1"/>
        <v>27889.875621777355</v>
      </c>
      <c r="AG13" s="41">
        <f>IF(SUM(AD13:AF13)=0,0,SUM(AD13:AF13)/'Sch AL-TOU Cust Fcst'!I12)</f>
        <v>13915.754705395921</v>
      </c>
    </row>
    <row r="14" spans="1:33" ht="13">
      <c r="A14" s="126" t="s">
        <v>10</v>
      </c>
      <c r="B14" s="109">
        <f>'Sch AL-TOU Cust Fcst'!$B13*'Non-Residential TSM UC Adj'!B14</f>
        <v>4936.206559466149</v>
      </c>
      <c r="C14" s="23">
        <f>'Sch AL-TOU Cust Fcst'!$B13*'Non-Residential TSM UC Adj'!C14</f>
        <v>1276.372447066306</v>
      </c>
      <c r="D14" s="23">
        <f>'Sch AL-TOU Cust Fcst'!$B13*'Non-Residential TSM UC Adj'!D14</f>
        <v>234.29973156037588</v>
      </c>
      <c r="E14" s="41">
        <f>IF(SUM(B14:D14)=0,0,SUM(B14:D14)/'Sch AL-TOU Cust Fcst'!B13)</f>
        <v>6446.8787380928306</v>
      </c>
      <c r="F14" s="109">
        <f>'Sch AL-TOU Cust Fcst'!$C13*'Non-Residential TSM UC Adj'!F14</f>
        <v>8339.1934513193628</v>
      </c>
      <c r="G14" s="23">
        <f>'Sch AL-TOU Cust Fcst'!$C13*'Non-Residential TSM UC Adj'!G14</f>
        <v>1440.5499348403266</v>
      </c>
      <c r="H14" s="23">
        <f>'Sch AL-TOU Cust Fcst'!$C13*'Non-Residential TSM UC Adj'!H14</f>
        <v>301.76349896014176</v>
      </c>
      <c r="I14" s="41">
        <f>IF(SUM(F14:H14)=0,0,SUM(F14:H14)/'Sch AL-TOU Cust Fcst'!C13)</f>
        <v>10081.50688511983</v>
      </c>
      <c r="J14" s="109">
        <f>'Sch AL-TOU Cust Fcst'!$D13*'Non-Residential TSM UC Adj'!J14</f>
        <v>378291.72411167983</v>
      </c>
      <c r="K14" s="23">
        <f>'Sch AL-TOU Cust Fcst'!$D13*'Non-Residential TSM UC Adj'!K14</f>
        <v>63384.197132974368</v>
      </c>
      <c r="L14" s="23">
        <f>'Sch AL-TOU Cust Fcst'!$D13*'Non-Residential TSM UC Adj'!L14</f>
        <v>13277.593954246237</v>
      </c>
      <c r="M14" s="41">
        <f>IF(SUM(J14:L14)=0,0,SUM(J14:L14)/'Sch AL-TOU Cust Fcst'!D13)</f>
        <v>10339.852618156829</v>
      </c>
      <c r="N14" s="109">
        <f>'Sch AL-TOU Cust Fcst'!$E13*'Non-Residential TSM UC Adj'!N14</f>
        <v>87551.922737157802</v>
      </c>
      <c r="O14" s="23">
        <f>'Sch AL-TOU Cust Fcst'!$E13*'Non-Residential TSM UC Adj'!O14</f>
        <v>14405.499348403266</v>
      </c>
      <c r="P14" s="23">
        <f>'Sch AL-TOU Cust Fcst'!$E13*'Non-Residential TSM UC Adj'!P14</f>
        <v>3017.6349896014176</v>
      </c>
      <c r="Q14" s="41">
        <f>IF(SUM(N14:P14)=0,0,SUM(N14:P14)/'Sch AL-TOU Cust Fcst'!E13)</f>
        <v>10497.505707516248</v>
      </c>
      <c r="R14" s="109">
        <f t="shared" si="2"/>
        <v>479119.04685962311</v>
      </c>
      <c r="S14" s="23">
        <f t="shared" si="0"/>
        <v>80506.618863284268</v>
      </c>
      <c r="T14" s="23">
        <f t="shared" si="0"/>
        <v>16831.292174368173</v>
      </c>
      <c r="U14" s="41">
        <f>IF(SUM(R14:T14)=0,0,SUM(R14:T14)/'Sch AL-TOU Cust Fcst'!F13)</f>
        <v>10293.874248165635</v>
      </c>
      <c r="V14" s="33">
        <f>'Sch AL-TOU Cust Fcst'!$G13*'Non-Residential TSM UC Adj'!R14</f>
        <v>0</v>
      </c>
      <c r="W14" s="33">
        <f>'Sch AL-TOU Cust Fcst'!$G13*'Non-Residential TSM UC Adj'!S14</f>
        <v>0</v>
      </c>
      <c r="X14" s="33">
        <f>'Sch AL-TOU Cust Fcst'!$G13*'Non-Residential TSM UC Adj'!T14</f>
        <v>0</v>
      </c>
      <c r="Y14" s="41">
        <f>IF(SUM(V14:X14)=0,0,SUM(V14:X14)/'Sch AL-TOU Cust Fcst'!G13)</f>
        <v>0</v>
      </c>
      <c r="Z14" s="33">
        <f>'Sch AL-TOU Cust Fcst'!$H13*'Non-Residential TSM UC Adj'!R14</f>
        <v>0</v>
      </c>
      <c r="AA14" s="33">
        <f>'Sch AL-TOU Cust Fcst'!$H13*'Non-Residential TSM UC Adj'!W14</f>
        <v>0</v>
      </c>
      <c r="AB14" s="33">
        <f>'Sch AL-TOU Cust Fcst'!$H13*'Non-Residential TSM UC Adj'!X14</f>
        <v>0</v>
      </c>
      <c r="AC14" s="41">
        <f>IF(SUM(Z14:AB14)=0,0,SUM(Z14:AB14)/'Sch AL-TOU Cust Fcst'!H13)</f>
        <v>0</v>
      </c>
      <c r="AD14" s="23">
        <f t="shared" si="3"/>
        <v>479119.04685962311</v>
      </c>
      <c r="AE14" s="23">
        <f t="shared" si="1"/>
        <v>80506.618863284268</v>
      </c>
      <c r="AF14" s="23">
        <f t="shared" si="1"/>
        <v>16831.292174368173</v>
      </c>
      <c r="AG14" s="41">
        <f>IF(SUM(AD14:AF14)=0,0,SUM(AD14:AF14)/'Sch AL-TOU Cust Fcst'!I13)</f>
        <v>10293.874248165635</v>
      </c>
    </row>
    <row r="15" spans="1:33" ht="13">
      <c r="A15" s="126" t="s">
        <v>11</v>
      </c>
      <c r="B15" s="109">
        <f>'Sch AL-TOU Cust Fcst'!$B14*'Non-Residential TSM UC Adj'!B15</f>
        <v>9872.4131189322979</v>
      </c>
      <c r="C15" s="23">
        <f>'Sch AL-TOU Cust Fcst'!$B14*'Non-Residential TSM UC Adj'!C15</f>
        <v>3762.8877410650498</v>
      </c>
      <c r="D15" s="23">
        <f>'Sch AL-TOU Cust Fcst'!$B14*'Non-Residential TSM UC Adj'!D15</f>
        <v>468.59946312075175</v>
      </c>
      <c r="E15" s="41">
        <f>IF(SUM(B15:D15)=0,0,SUM(B15:D15)/'Sch AL-TOU Cust Fcst'!B14)</f>
        <v>7051.9501615590498</v>
      </c>
      <c r="F15" s="109">
        <f>'Sch AL-TOU Cust Fcst'!$C14*'Non-Residential TSM UC Adj'!F15</f>
        <v>8339.1934513193628</v>
      </c>
      <c r="G15" s="23">
        <f>'Sch AL-TOU Cust Fcst'!$C14*'Non-Residential TSM UC Adj'!G15</f>
        <v>2881.0998696806532</v>
      </c>
      <c r="H15" s="23">
        <f>'Sch AL-TOU Cust Fcst'!$C14*'Non-Residential TSM UC Adj'!H15</f>
        <v>865.67585029149416</v>
      </c>
      <c r="I15" s="41">
        <f>IF(SUM(F15:H15)=0,0,SUM(F15:H15)/'Sch AL-TOU Cust Fcst'!C14)</f>
        <v>12085.96917129151</v>
      </c>
      <c r="J15" s="109">
        <f>'Sch AL-TOU Cust Fcst'!$D14*'Non-Residential TSM UC Adj'!J15</f>
        <v>1392801.3478657303</v>
      </c>
      <c r="K15" s="23">
        <f>'Sch AL-TOU Cust Fcst'!$D14*'Non-Residential TSM UC Adj'!K15</f>
        <v>233369.0894441329</v>
      </c>
      <c r="L15" s="23">
        <f>'Sch AL-TOU Cust Fcst'!$D14*'Non-Residential TSM UC Adj'!L15</f>
        <v>70119.74387361102</v>
      </c>
      <c r="M15" s="41">
        <f>IF(SUM(J15:L15)=0,0,SUM(J15:L15)/'Sch AL-TOU Cust Fcst'!D14)</f>
        <v>20941.854088684868</v>
      </c>
      <c r="N15" s="109">
        <f>'Sch AL-TOU Cust Fcst'!$E14*'Non-Residential TSM UC Adj'!N15</f>
        <v>350207.69094863121</v>
      </c>
      <c r="O15" s="23">
        <f>'Sch AL-TOU Cust Fcst'!$E14*'Non-Residential TSM UC Adj'!O15</f>
        <v>28810.998696806531</v>
      </c>
      <c r="P15" s="23">
        <f>'Sch AL-TOU Cust Fcst'!$E14*'Non-Residential TSM UC Adj'!P15</f>
        <v>17313.517005829883</v>
      </c>
      <c r="Q15" s="41">
        <f>IF(SUM(N15:P15)=0,0,SUM(N15:P15)/'Sch AL-TOU Cust Fcst'!E14)</f>
        <v>19816.610332563381</v>
      </c>
      <c r="R15" s="109">
        <f t="shared" si="2"/>
        <v>1761220.6453846132</v>
      </c>
      <c r="S15" s="23">
        <f t="shared" si="0"/>
        <v>268824.07575168513</v>
      </c>
      <c r="T15" s="23">
        <f t="shared" si="0"/>
        <v>88767.536192853149</v>
      </c>
      <c r="U15" s="41">
        <f>IF(SUM(R15:T15)=0,0,SUM(R15:T15)/'Sch AL-TOU Cust Fcst'!F14)</f>
        <v>20373.194782011073</v>
      </c>
      <c r="V15" s="33">
        <f>'Sch AL-TOU Cust Fcst'!$G14*'Non-Residential TSM UC Adj'!R15</f>
        <v>0</v>
      </c>
      <c r="W15" s="33">
        <f>'Sch AL-TOU Cust Fcst'!$G14*'Non-Residential TSM UC Adj'!S15</f>
        <v>15649.636564711098</v>
      </c>
      <c r="X15" s="33">
        <f>'Sch AL-TOU Cust Fcst'!$G14*'Non-Residential TSM UC Adj'!T15</f>
        <v>4839.1081917630208</v>
      </c>
      <c r="Y15" s="41">
        <f>IF(SUM(V15:X15)=0,0,SUM(V15:X15)/'Sch AL-TOU Cust Fcst'!G14)</f>
        <v>4097.7489512948241</v>
      </c>
      <c r="Z15" s="33">
        <f>'Sch AL-TOU Cust Fcst'!$H14*'Non-Residential TSM UC Adj'!R15</f>
        <v>0</v>
      </c>
      <c r="AA15" s="33">
        <f>'Sch AL-TOU Cust Fcst'!$H14*'Non-Residential TSM UC Adj'!W15</f>
        <v>0</v>
      </c>
      <c r="AB15" s="33">
        <f>'Sch AL-TOU Cust Fcst'!$H14*'Non-Residential TSM UC Adj'!X15</f>
        <v>0</v>
      </c>
      <c r="AC15" s="41">
        <f>IF(SUM(Z15:AB15)=0,0,SUM(Z15:AB15)/'Sch AL-TOU Cust Fcst'!H14)</f>
        <v>0</v>
      </c>
      <c r="AD15" s="23">
        <f t="shared" si="3"/>
        <v>1761220.6453846132</v>
      </c>
      <c r="AE15" s="23">
        <f t="shared" si="1"/>
        <v>284473.71231639624</v>
      </c>
      <c r="AF15" s="23">
        <f t="shared" si="1"/>
        <v>93606.644384616171</v>
      </c>
      <c r="AG15" s="41">
        <f>IF(SUM(AD15:AF15)=0,0,SUM(AD15:AF15)/'Sch AL-TOU Cust Fcst'!I14)</f>
        <v>19626.614698033263</v>
      </c>
    </row>
    <row r="16" spans="1:33" ht="13">
      <c r="A16" s="126" t="s">
        <v>101</v>
      </c>
      <c r="B16" s="109">
        <f>'Sch AL-TOU Cust Fcst'!$B15*'Non-Residential TSM UC Adj'!B16</f>
        <v>6972.3309833234607</v>
      </c>
      <c r="C16" s="23">
        <f>'Sch AL-TOU Cust Fcst'!$B15*'Non-Residential TSM UC Adj'!C16</f>
        <v>1881.4438705325249</v>
      </c>
      <c r="D16" s="23">
        <f>'Sch AL-TOU Cust Fcst'!$B15*'Non-Residential TSM UC Adj'!D16</f>
        <v>234.29973156037588</v>
      </c>
      <c r="E16" s="41">
        <f>IF(SUM(B16:D16)=0,0,SUM(B16:D16)/'Sch AL-TOU Cust Fcst'!B15)</f>
        <v>9088.0745854163615</v>
      </c>
      <c r="F16" s="109">
        <f>'Sch AL-TOU Cust Fcst'!$C15*'Non-Residential TSM UC Adj'!F16</f>
        <v>16678.386902638726</v>
      </c>
      <c r="G16" s="23">
        <f>'Sch AL-TOU Cust Fcst'!$C15*'Non-Residential TSM UC Adj'!G16</f>
        <v>3881.3806159244828</v>
      </c>
      <c r="H16" s="23">
        <f>'Sch AL-TOU Cust Fcst'!$C15*'Non-Residential TSM UC Adj'!H16</f>
        <v>865.67585029149416</v>
      </c>
      <c r="I16" s="41">
        <f>IF(SUM(F16:H16)=0,0,SUM(F16:H16)/'Sch AL-TOU Cust Fcst'!C15)</f>
        <v>21425.4433688547</v>
      </c>
      <c r="J16" s="109">
        <f>'Sch AL-TOU Cust Fcst'!$D15*'Non-Residential TSM UC Adj'!J16</f>
        <v>833130.9003567528</v>
      </c>
      <c r="K16" s="23">
        <f>'Sch AL-TOU Cust Fcst'!$D15*'Non-Residential TSM UC Adj'!K16</f>
        <v>333798.73296950554</v>
      </c>
      <c r="L16" s="23">
        <f>'Sch AL-TOU Cust Fcst'!$D15*'Non-Residential TSM UC Adj'!L16</f>
        <v>74448.123125068494</v>
      </c>
      <c r="M16" s="41">
        <f>IF(SUM(J16:L16)=0,0,SUM(J16:L16)/'Sch AL-TOU Cust Fcst'!D15)</f>
        <v>14434.625075015429</v>
      </c>
      <c r="N16" s="109">
        <f>'Sch AL-TOU Cust Fcst'!$E15*'Non-Residential TSM UC Adj'!N16</f>
        <v>476918.28004753601</v>
      </c>
      <c r="O16" s="23">
        <f>'Sch AL-TOU Cust Fcst'!$E15*'Non-Residential TSM UC Adj'!O16</f>
        <v>100915.89601403655</v>
      </c>
      <c r="P16" s="23">
        <f>'Sch AL-TOU Cust Fcst'!$E15*'Non-Residential TSM UC Adj'!P16</f>
        <v>45015.144215157699</v>
      </c>
      <c r="Q16" s="41">
        <f>IF(SUM(N16:P16)=0,0,SUM(N16:P16)/'Sch AL-TOU Cust Fcst'!E15)</f>
        <v>11977.871543783274</v>
      </c>
      <c r="R16" s="109">
        <f t="shared" si="2"/>
        <v>1333699.8982902509</v>
      </c>
      <c r="S16" s="23">
        <f t="shared" si="0"/>
        <v>440477.45346999908</v>
      </c>
      <c r="T16" s="23">
        <f t="shared" si="0"/>
        <v>120563.24292207806</v>
      </c>
      <c r="U16" s="41">
        <f>IF(SUM(R16:T16)=0,0,SUM(R16:T16)/'Sch AL-TOU Cust Fcst'!F15)</f>
        <v>13533.861390588057</v>
      </c>
      <c r="V16" s="33">
        <f>'Sch AL-TOU Cust Fcst'!$G15*'Non-Residential TSM UC Adj'!R16</f>
        <v>0</v>
      </c>
      <c r="W16" s="33">
        <f>'Sch AL-TOU Cust Fcst'!$G15*'Non-Residential TSM UC Adj'!S16</f>
        <v>18779.563877653316</v>
      </c>
      <c r="X16" s="33">
        <f>'Sch AL-TOU Cust Fcst'!$G15*'Non-Residential TSM UC Adj'!T16</f>
        <v>5806.929830115625</v>
      </c>
      <c r="Y16" s="41">
        <f>IF(SUM(V16:X16)=0,0,SUM(V16:X16)/'Sch AL-TOU Cust Fcst'!G15)</f>
        <v>4097.7489512948232</v>
      </c>
      <c r="Z16" s="33">
        <f>'Sch AL-TOU Cust Fcst'!$H15*'Non-Residential TSM UC Adj'!R16</f>
        <v>0</v>
      </c>
      <c r="AA16" s="33">
        <f>'Sch AL-TOU Cust Fcst'!$H15*'Non-Residential TSM UC Adj'!W16</f>
        <v>0</v>
      </c>
      <c r="AB16" s="33">
        <f>'Sch AL-TOU Cust Fcst'!$H15*'Non-Residential TSM UC Adj'!X16</f>
        <v>0</v>
      </c>
      <c r="AC16" s="41">
        <f>IF(SUM(Z16:AB16)=0,0,SUM(Z16:AB16)/'Sch AL-TOU Cust Fcst'!H15)</f>
        <v>0</v>
      </c>
      <c r="AD16" s="23">
        <f t="shared" si="3"/>
        <v>1333699.8982902509</v>
      </c>
      <c r="AE16" s="23">
        <f t="shared" si="1"/>
        <v>459257.01734765241</v>
      </c>
      <c r="AF16" s="23">
        <f t="shared" si="1"/>
        <v>126370.17275219368</v>
      </c>
      <c r="AG16" s="41">
        <f>IF(SUM(AD16:AF16)=0,0,SUM(AD16:AF16)/'Sch AL-TOU Cust Fcst'!I15)</f>
        <v>13146.075947877376</v>
      </c>
    </row>
    <row r="17" spans="1:33" ht="13">
      <c r="A17" s="126" t="s">
        <v>102</v>
      </c>
      <c r="B17" s="109">
        <f>'Sch AL-TOU Cust Fcst'!$B16*'Non-Residential TSM UC Adj'!J17</f>
        <v>0</v>
      </c>
      <c r="C17" s="23">
        <f>'Sch AL-TOU Cust Fcst'!$B16*'Non-Residential TSM UC Adj'!K17</f>
        <v>0</v>
      </c>
      <c r="D17" s="23">
        <f>'Sch AL-TOU Cust Fcst'!$B16*'Non-Residential TSM UC Adj'!L17</f>
        <v>0</v>
      </c>
      <c r="E17" s="41">
        <f>IF(SUM(B17:D17)=0,0,SUM(B17:D17)/'Sch AL-TOU Cust Fcst'!B16)</f>
        <v>0</v>
      </c>
      <c r="F17" s="109">
        <f>'Sch AL-TOU Cust Fcst'!$C16*'Non-Residential TSM UC Adj'!F17</f>
        <v>0</v>
      </c>
      <c r="G17" s="23">
        <f>'Sch AL-TOU Cust Fcst'!$C16*'Non-Residential TSM UC Adj'!G17</f>
        <v>0</v>
      </c>
      <c r="H17" s="23">
        <f>'Sch AL-TOU Cust Fcst'!$C16*'Non-Residential TSM UC Adj'!H17</f>
        <v>0</v>
      </c>
      <c r="I17" s="41">
        <f>IF(SUM(F17:H17)=0,0,SUM(F17:H17)/'Sch AL-TOU Cust Fcst'!C16)</f>
        <v>0</v>
      </c>
      <c r="J17" s="109">
        <f>'Sch AL-TOU Cust Fcst'!$D16*'Non-Residential TSM UC Adj'!J17</f>
        <v>581254.11652796704</v>
      </c>
      <c r="K17" s="23">
        <f>'Sch AL-TOU Cust Fcst'!$D16*'Non-Residential TSM UC Adj'!K17</f>
        <v>232882.83695546896</v>
      </c>
      <c r="L17" s="23">
        <f>'Sch AL-TOU Cust Fcst'!$D16*'Non-Residential TSM UC Adj'!L17</f>
        <v>51940.551017489648</v>
      </c>
      <c r="M17" s="41">
        <f>IF(SUM(J17:L17)=0,0,SUM(J17:L17)/'Sch AL-TOU Cust Fcst'!D16)</f>
        <v>14434.625075015427</v>
      </c>
      <c r="N17" s="109">
        <f>'Sch AL-TOU Cust Fcst'!$E16*'Non-Residential TSM UC Adj'!N17</f>
        <v>394374.7315777702</v>
      </c>
      <c r="O17" s="23">
        <f>'Sch AL-TOU Cust Fcst'!$E16*'Non-Residential TSM UC Adj'!O17</f>
        <v>83449.683242376384</v>
      </c>
      <c r="P17" s="23">
        <f>'Sch AL-TOU Cust Fcst'!$E16*'Non-Residential TSM UC Adj'!P17</f>
        <v>37224.061562534247</v>
      </c>
      <c r="Q17" s="41">
        <f>IF(SUM(N17:P17)=0,0,SUM(N17:P17)/'Sch AL-TOU Cust Fcst'!E16)</f>
        <v>11977.871543783274</v>
      </c>
      <c r="R17" s="109">
        <f t="shared" si="2"/>
        <v>975628.84810573724</v>
      </c>
      <c r="S17" s="23">
        <f t="shared" si="0"/>
        <v>316332.52019784536</v>
      </c>
      <c r="T17" s="23">
        <f t="shared" si="0"/>
        <v>89164.612580023895</v>
      </c>
      <c r="U17" s="41">
        <f>IF(SUM(R17:T17)=0,0,SUM(R17:T17)/'Sch AL-TOU Cust Fcst'!F16)</f>
        <v>13408.990105666082</v>
      </c>
      <c r="V17" s="33">
        <f>'Sch AL-TOU Cust Fcst'!$G16*'Non-Residential TSM UC Adj'!R17</f>
        <v>0</v>
      </c>
      <c r="W17" s="33">
        <f>'Sch AL-TOU Cust Fcst'!$G16*'Non-Residential TSM UC Adj'!S17</f>
        <v>18779.563877653316</v>
      </c>
      <c r="X17" s="33">
        <f>'Sch AL-TOU Cust Fcst'!$G16*'Non-Residential TSM UC Adj'!T17</f>
        <v>5806.929830115625</v>
      </c>
      <c r="Y17" s="41">
        <f>IF(SUM(V17:X17)=0,0,SUM(V17:X17)/'Sch AL-TOU Cust Fcst'!G16)</f>
        <v>4097.7489512948232</v>
      </c>
      <c r="Z17" s="33">
        <f>'Sch AL-TOU Cust Fcst'!$H16*'Non-Residential TSM UC Adj'!R17</f>
        <v>0</v>
      </c>
      <c r="AA17" s="33">
        <f>'Sch AL-TOU Cust Fcst'!$H16*'Non-Residential TSM UC Adj'!W17</f>
        <v>0</v>
      </c>
      <c r="AB17" s="33">
        <f>'Sch AL-TOU Cust Fcst'!$H16*'Non-Residential TSM UC Adj'!X17</f>
        <v>0</v>
      </c>
      <c r="AC17" s="41">
        <f>IF(SUM(Z17:AB17)=0,0,SUM(Z17:AB17)/'Sch AL-TOU Cust Fcst'!H16)</f>
        <v>0</v>
      </c>
      <c r="AD17" s="23">
        <f t="shared" si="3"/>
        <v>975628.84810573724</v>
      </c>
      <c r="AE17" s="23">
        <f t="shared" si="1"/>
        <v>335112.08407549869</v>
      </c>
      <c r="AF17" s="23">
        <f t="shared" si="1"/>
        <v>94971.542410139518</v>
      </c>
      <c r="AG17" s="41">
        <f>IF(SUM(AD17:AF17)=0,0,SUM(AD17:AF17)/'Sch AL-TOU Cust Fcst'!I16)</f>
        <v>12896.444721021791</v>
      </c>
    </row>
    <row r="18" spans="1:33" ht="13">
      <c r="A18" s="126" t="s">
        <v>12</v>
      </c>
      <c r="B18" s="109">
        <f>'Sch AL-TOU Cust Fcst'!$B17*'Non-Residential TSM UC Adj'!J18</f>
        <v>0</v>
      </c>
      <c r="C18" s="23">
        <f>'Sch AL-TOU Cust Fcst'!$B17*'Non-Residential TSM UC Adj'!K18</f>
        <v>0</v>
      </c>
      <c r="D18" s="23">
        <f>'Sch AL-TOU Cust Fcst'!$B17*'Non-Residential TSM UC Adj'!L18</f>
        <v>0</v>
      </c>
      <c r="E18" s="41">
        <f>IF(SUM(B18:D18)=0,0,SUM(B18:D18)/'Sch AL-TOU Cust Fcst'!B17)</f>
        <v>0</v>
      </c>
      <c r="F18" s="109">
        <f>'Sch AL-TOU Cust Fcst'!$C17*'Non-Residential TSM UC Adj'!J18</f>
        <v>0</v>
      </c>
      <c r="G18" s="23">
        <f>'Sch AL-TOU Cust Fcst'!$C17*'Non-Residential TSM UC Adj'!K18</f>
        <v>0</v>
      </c>
      <c r="H18" s="23">
        <f>'Sch AL-TOU Cust Fcst'!$C17*'Non-Residential TSM UC Adj'!L18</f>
        <v>0</v>
      </c>
      <c r="I18" s="41">
        <f>IF(SUM(F18:H18)=0,0,SUM(F18:H18)/'Sch AL-TOU Cust Fcst'!C17)</f>
        <v>0</v>
      </c>
      <c r="J18" s="109">
        <f>'Sch AL-TOU Cust Fcst'!$D17*'Non-Residential TSM UC Adj'!J18</f>
        <v>406877.88156957692</v>
      </c>
      <c r="K18" s="23">
        <f>'Sch AL-TOU Cust Fcst'!$D17*'Non-Residential TSM UC Adj'!K18</f>
        <v>132980.02221372753</v>
      </c>
      <c r="L18" s="23">
        <f>'Sch AL-TOU Cust Fcst'!$D17*'Non-Residential TSM UC Adj'!L18</f>
        <v>18179.192856121379</v>
      </c>
      <c r="M18" s="41">
        <f>IF(SUM(J18:L18)=0,0,SUM(J18:L18)/'Sch AL-TOU Cust Fcst'!D17)</f>
        <v>26573.195078067893</v>
      </c>
      <c r="N18" s="109">
        <f>'Sch AL-TOU Cust Fcst'!$E17*'Non-Residential TSM UC Adj'!N18</f>
        <v>1504126.8832268445</v>
      </c>
      <c r="O18" s="23">
        <f>'Sch AL-TOU Cust Fcst'!$E17*'Non-Residential TSM UC Adj'!O18</f>
        <v>259627.66241727758</v>
      </c>
      <c r="P18" s="23">
        <f>'Sch AL-TOU Cust Fcst'!$E17*'Non-Residential TSM UC Adj'!P18</f>
        <v>70985.419723902523</v>
      </c>
      <c r="Q18" s="41">
        <f>IF(SUM(N18:P18)=0,0,SUM(N18:P18)/'Sch AL-TOU Cust Fcst'!E17)</f>
        <v>22374.877626439327</v>
      </c>
      <c r="R18" s="109">
        <f t="shared" si="2"/>
        <v>1911004.7647964214</v>
      </c>
      <c r="S18" s="23">
        <f t="shared" si="0"/>
        <v>392607.6846310051</v>
      </c>
      <c r="T18" s="23">
        <f t="shared" si="0"/>
        <v>89164.61258002391</v>
      </c>
      <c r="U18" s="41">
        <f>IF(SUM(R18:T18)=0,0,SUM(R18:T18)/'Sch AL-TOU Cust Fcst'!F17)</f>
        <v>23230.845262208251</v>
      </c>
      <c r="V18" s="33">
        <f>'Sch AL-TOU Cust Fcst'!$G17*'Non-Residential TSM UC Adj'!R18</f>
        <v>0</v>
      </c>
      <c r="W18" s="33">
        <f>'Sch AL-TOU Cust Fcst'!$G17*'Non-Residential TSM UC Adj'!S18</f>
        <v>9389.781938826658</v>
      </c>
      <c r="X18" s="33">
        <f>'Sch AL-TOU Cust Fcst'!$G17*'Non-Residential TSM UC Adj'!T18</f>
        <v>2903.4649150578125</v>
      </c>
      <c r="Y18" s="41">
        <f>IF(SUM(V18:X18)=0,0,SUM(V18:X18)/'Sch AL-TOU Cust Fcst'!G17)</f>
        <v>4097.7489512948232</v>
      </c>
      <c r="Z18" s="33">
        <f>'Sch AL-TOU Cust Fcst'!$H17*'Non-Residential TSM UC Adj'!R18</f>
        <v>0</v>
      </c>
      <c r="AA18" s="33">
        <f>'Sch AL-TOU Cust Fcst'!$H17*'Non-Residential TSM UC Adj'!W18</f>
        <v>0</v>
      </c>
      <c r="AB18" s="33">
        <f>'Sch AL-TOU Cust Fcst'!$H17*'Non-Residential TSM UC Adj'!X18</f>
        <v>0</v>
      </c>
      <c r="AC18" s="41">
        <f>IF(SUM(Z18:AB18)=0,0,SUM(Z18:AB18)/'Sch AL-TOU Cust Fcst'!H17)</f>
        <v>0</v>
      </c>
      <c r="AD18" s="23">
        <f t="shared" si="3"/>
        <v>1911004.7647964214</v>
      </c>
      <c r="AE18" s="23">
        <f t="shared" si="1"/>
        <v>401997.46656983177</v>
      </c>
      <c r="AF18" s="23">
        <f t="shared" si="1"/>
        <v>92068.077495081729</v>
      </c>
      <c r="AG18" s="41">
        <f>IF(SUM(AD18:AF18)=0,0,SUM(AD18:AF18)/'Sch AL-TOU Cust Fcst'!I17)</f>
        <v>22689.342536427688</v>
      </c>
    </row>
    <row r="19" spans="1:33" ht="13">
      <c r="A19" s="126" t="s">
        <v>13</v>
      </c>
      <c r="B19" s="109">
        <f>'Sch AL-TOU Cust Fcst'!$B18*'Non-Residential TSM UC Adj'!J19</f>
        <v>0</v>
      </c>
      <c r="C19" s="23">
        <f>'Sch AL-TOU Cust Fcst'!$B18*'Non-Residential TSM UC Adj'!K19</f>
        <v>0</v>
      </c>
      <c r="D19" s="23">
        <f>'Sch AL-TOU Cust Fcst'!$B18*'Non-Residential TSM UC Adj'!L19</f>
        <v>0</v>
      </c>
      <c r="E19" s="41">
        <f>IF(SUM(B19:D19)=0,0,SUM(B19:D19)/'Sch AL-TOU Cust Fcst'!B18)</f>
        <v>0</v>
      </c>
      <c r="F19" s="109">
        <f>'Sch AL-TOU Cust Fcst'!$C18*'Non-Residential TSM UC Adj'!J19</f>
        <v>0</v>
      </c>
      <c r="G19" s="23">
        <f>'Sch AL-TOU Cust Fcst'!$C18*'Non-Residential TSM UC Adj'!K19</f>
        <v>0</v>
      </c>
      <c r="H19" s="23">
        <f>'Sch AL-TOU Cust Fcst'!$C18*'Non-Residential TSM UC Adj'!L19</f>
        <v>0</v>
      </c>
      <c r="I19" s="41">
        <f>IF(SUM(F19:H19)=0,0,SUM(F19:H19)/'Sch AL-TOU Cust Fcst'!C18)</f>
        <v>0</v>
      </c>
      <c r="J19" s="109">
        <f>'Sch AL-TOU Cust Fcst'!$D18*'Non-Residential TSM UC Adj'!J19</f>
        <v>24812.70207798417</v>
      </c>
      <c r="K19" s="23">
        <f>'Sch AL-TOU Cust Fcst'!$D18*'Non-Residential TSM UC Adj'!K19</f>
        <v>18997.146030532505</v>
      </c>
      <c r="L19" s="23">
        <f>'Sch AL-TOU Cust Fcst'!$D18*'Non-Residential TSM UC Adj'!L19</f>
        <v>1731.3517005829883</v>
      </c>
      <c r="M19" s="41">
        <f>IF(SUM(J19:L19)=0,0,SUM(J19:L19)/'Sch AL-TOU Cust Fcst'!D18)</f>
        <v>22770.599904549828</v>
      </c>
      <c r="N19" s="109">
        <f>'Sch AL-TOU Cust Fcst'!$E18*'Non-Residential TSM UC Adj'!N19</f>
        <v>334971.47805278632</v>
      </c>
      <c r="O19" s="23">
        <f>'Sch AL-TOU Cust Fcst'!$E18*'Non-Residential TSM UC Adj'!O19</f>
        <v>104797.27662996104</v>
      </c>
      <c r="P19" s="23">
        <f>'Sch AL-TOU Cust Fcst'!$E18*'Non-Residential TSM UC Adj'!P19</f>
        <v>23373.247957870342</v>
      </c>
      <c r="Q19" s="41">
        <f>IF(SUM(N19:P19)=0,0,SUM(N19:P19)/'Sch AL-TOU Cust Fcst'!E18)</f>
        <v>17153.407505208063</v>
      </c>
      <c r="R19" s="109">
        <f t="shared" si="2"/>
        <v>359784.18013077049</v>
      </c>
      <c r="S19" s="23">
        <f t="shared" si="0"/>
        <v>123794.42266049354</v>
      </c>
      <c r="T19" s="23">
        <f t="shared" si="0"/>
        <v>25104.599658453331</v>
      </c>
      <c r="U19" s="41">
        <f>IF(SUM(R19:T19)=0,0,SUM(R19:T19)/'Sch AL-TOU Cust Fcst'!F18)</f>
        <v>17540.800084473012</v>
      </c>
      <c r="V19" s="33">
        <f>'Sch AL-TOU Cust Fcst'!$G18*'Non-Residential TSM UC Adj'!R19</f>
        <v>0</v>
      </c>
      <c r="W19" s="33">
        <f>'Sch AL-TOU Cust Fcst'!$G18*'Non-Residential TSM UC Adj'!S19</f>
        <v>34429.200442364418</v>
      </c>
      <c r="X19" s="33">
        <f>'Sch AL-TOU Cust Fcst'!$G18*'Non-Residential TSM UC Adj'!T19</f>
        <v>10646.038021878645</v>
      </c>
      <c r="Y19" s="41">
        <f>IF(SUM(V19:X19)=0,0,SUM(V19:X19)/'Sch AL-TOU Cust Fcst'!G18)</f>
        <v>4097.7489512948241</v>
      </c>
      <c r="Z19" s="33">
        <f>'Sch AL-TOU Cust Fcst'!$H18*'Non-Residential TSM UC Adj'!R19</f>
        <v>0</v>
      </c>
      <c r="AA19" s="33">
        <f>'Sch AL-TOU Cust Fcst'!$H18*'Non-Residential TSM UC Adj'!W19</f>
        <v>0</v>
      </c>
      <c r="AB19" s="33">
        <f>'Sch AL-TOU Cust Fcst'!$H18*'Non-Residential TSM UC Adj'!X19</f>
        <v>0</v>
      </c>
      <c r="AC19" s="41">
        <f>IF(SUM(Z19:AB19)=0,0,SUM(Z19:AB19)/'Sch AL-TOU Cust Fcst'!H18)</f>
        <v>0</v>
      </c>
      <c r="AD19" s="23">
        <f t="shared" si="3"/>
        <v>359784.18013077049</v>
      </c>
      <c r="AE19" s="23">
        <f t="shared" si="1"/>
        <v>158223.62310285796</v>
      </c>
      <c r="AF19" s="23">
        <f t="shared" si="1"/>
        <v>35750.637680331973</v>
      </c>
      <c r="AG19" s="41">
        <f>IF(SUM(AD19:AF19)=0,0,SUM(AD19:AF19)/'Sch AL-TOU Cust Fcst'!I18)</f>
        <v>13843.961022849011</v>
      </c>
    </row>
    <row r="20" spans="1:33" ht="13">
      <c r="A20" s="126" t="s">
        <v>103</v>
      </c>
      <c r="B20" s="109">
        <f>'Sch AL-TOU Cust Fcst'!$B19*'Non-Residential TSM UC Adj'!J20</f>
        <v>0</v>
      </c>
      <c r="C20" s="23">
        <f>'Sch AL-TOU Cust Fcst'!$B19*'Non-Residential TSM UC Adj'!K20</f>
        <v>0</v>
      </c>
      <c r="D20" s="23">
        <f>'Sch AL-TOU Cust Fcst'!$B19*'Non-Residential TSM UC Adj'!L20</f>
        <v>0</v>
      </c>
      <c r="E20" s="41">
        <f>IF(SUM(B20:D20)=0,0,SUM(B20:D20)/'Sch AL-TOU Cust Fcst'!B19)</f>
        <v>0</v>
      </c>
      <c r="F20" s="109">
        <f>'Sch AL-TOU Cust Fcst'!$C19*'Non-Residential TSM UC Adj'!J20</f>
        <v>0</v>
      </c>
      <c r="G20" s="23">
        <f>'Sch AL-TOU Cust Fcst'!$C19*'Non-Residential TSM UC Adj'!K20</f>
        <v>0</v>
      </c>
      <c r="H20" s="23">
        <f>'Sch AL-TOU Cust Fcst'!$C19*'Non-Residential TSM UC Adj'!L20</f>
        <v>0</v>
      </c>
      <c r="I20" s="41">
        <f>IF(SUM(F20:H20)=0,0,SUM(F20:H20)/'Sch AL-TOU Cust Fcst'!C19)</f>
        <v>0</v>
      </c>
      <c r="J20" s="109">
        <f>'Sch AL-TOU Cust Fcst'!$D19*'Non-Residential TSM UC Adj'!J20</f>
        <v>0</v>
      </c>
      <c r="K20" s="23">
        <f>'Sch AL-TOU Cust Fcst'!$D19*'Non-Residential TSM UC Adj'!K20</f>
        <v>0</v>
      </c>
      <c r="L20" s="23">
        <f>'Sch AL-TOU Cust Fcst'!$D19*'Non-Residential TSM UC Adj'!L20</f>
        <v>0</v>
      </c>
      <c r="M20" s="41">
        <f>IF(SUM(J20:L20)=0,0,SUM(J20:L20)/'Sch AL-TOU Cust Fcst'!D19)</f>
        <v>0</v>
      </c>
      <c r="N20" s="109">
        <f>'Sch AL-TOU Cust Fcst'!$E19*'Non-Residential TSM UC Adj'!N20</f>
        <v>170021.48743403744</v>
      </c>
      <c r="O20" s="23">
        <f>'Sch AL-TOU Cust Fcst'!$E19*'Non-Residential TSM UC Adj'!O20</f>
        <v>46576.567391093791</v>
      </c>
      <c r="P20" s="23">
        <f>'Sch AL-TOU Cust Fcst'!$E19*'Non-Residential TSM UC Adj'!P20</f>
        <v>10388.11020349793</v>
      </c>
      <c r="Q20" s="41">
        <f>IF(SUM(N20:P20)=0,0,SUM(N20:P20)/'Sch AL-TOU Cust Fcst'!E19)</f>
        <v>18915.513752385763</v>
      </c>
      <c r="R20" s="109">
        <f t="shared" si="2"/>
        <v>170021.48743403744</v>
      </c>
      <c r="S20" s="23">
        <f t="shared" si="0"/>
        <v>46576.567391093791</v>
      </c>
      <c r="T20" s="23">
        <f t="shared" si="0"/>
        <v>10388.11020349793</v>
      </c>
      <c r="U20" s="41">
        <f>IF(SUM(R20:T20)=0,0,SUM(R20:T20)/'Sch AL-TOU Cust Fcst'!F19)</f>
        <v>18915.513752385763</v>
      </c>
      <c r="V20" s="33">
        <f>'Sch AL-TOU Cust Fcst'!$G19*'Non-Residential TSM UC Adj'!R20</f>
        <v>0</v>
      </c>
      <c r="W20" s="33">
        <f>'Sch AL-TOU Cust Fcst'!$G19*'Non-Residential TSM UC Adj'!S20</f>
        <v>3129.9273129422195</v>
      </c>
      <c r="X20" s="33">
        <f>'Sch AL-TOU Cust Fcst'!$G19*'Non-Residential TSM UC Adj'!T20</f>
        <v>967.82163835260417</v>
      </c>
      <c r="Y20" s="41">
        <f>IF(SUM(V20:X20)=0,0,SUM(V20:X20)/'Sch AL-TOU Cust Fcst'!G19)</f>
        <v>4097.7489512948232</v>
      </c>
      <c r="Z20" s="33">
        <f>'Sch AL-TOU Cust Fcst'!$H19*'Non-Residential TSM UC Adj'!R20</f>
        <v>0</v>
      </c>
      <c r="AA20" s="33">
        <f>'Sch AL-TOU Cust Fcst'!$H19*'Non-Residential TSM UC Adj'!W20</f>
        <v>0</v>
      </c>
      <c r="AB20" s="33">
        <f>'Sch AL-TOU Cust Fcst'!$H19*'Non-Residential TSM UC Adj'!X20</f>
        <v>0</v>
      </c>
      <c r="AC20" s="41">
        <f>IF(SUM(Z20:AB20)=0,0,SUM(Z20:AB20)/'Sch AL-TOU Cust Fcst'!H19)</f>
        <v>0</v>
      </c>
      <c r="AD20" s="23">
        <f t="shared" si="3"/>
        <v>170021.48743403744</v>
      </c>
      <c r="AE20" s="23">
        <f t="shared" si="1"/>
        <v>49706.494704036013</v>
      </c>
      <c r="AF20" s="23">
        <f t="shared" si="1"/>
        <v>11355.931841850535</v>
      </c>
      <c r="AG20" s="41">
        <f>IF(SUM(AD20:AF20)=0,0,SUM(AD20:AF20)/'Sch AL-TOU Cust Fcst'!I19)</f>
        <v>17775.685690763385</v>
      </c>
    </row>
    <row r="21" spans="1:33" ht="13">
      <c r="A21" s="126" t="s">
        <v>104</v>
      </c>
      <c r="B21" s="109">
        <f>'Sch AL-TOU Cust Fcst'!$B20*'Non-Residential TSM UC Adj'!J21</f>
        <v>0</v>
      </c>
      <c r="C21" s="23">
        <f>'Sch AL-TOU Cust Fcst'!$B20*'Non-Residential TSM UC Adj'!K21</f>
        <v>0</v>
      </c>
      <c r="D21" s="23">
        <f>'Sch AL-TOU Cust Fcst'!$B20*'Non-Residential TSM UC Adj'!L21</f>
        <v>0</v>
      </c>
      <c r="E21" s="41">
        <f>IF(SUM(B21:D21)=0,0,SUM(B21:D21)/'Sch AL-TOU Cust Fcst'!B20)</f>
        <v>0</v>
      </c>
      <c r="F21" s="109">
        <f>'Sch AL-TOU Cust Fcst'!$C20*'Non-Residential TSM UC Adj'!J21</f>
        <v>0</v>
      </c>
      <c r="G21" s="23">
        <f>'Sch AL-TOU Cust Fcst'!$C20*'Non-Residential TSM UC Adj'!K21</f>
        <v>0</v>
      </c>
      <c r="H21" s="23">
        <f>'Sch AL-TOU Cust Fcst'!$C20*'Non-Residential TSM UC Adj'!L21</f>
        <v>0</v>
      </c>
      <c r="I21" s="41">
        <f>IF(SUM(F21:H21)=0,0,SUM(F21:H21)/'Sch AL-TOU Cust Fcst'!C20)</f>
        <v>0</v>
      </c>
      <c r="J21" s="109">
        <f>'Sch AL-TOU Cust Fcst'!$D20*'Non-Residential TSM UC Adj'!J21</f>
        <v>33536.438448682122</v>
      </c>
      <c r="K21" s="23">
        <f>'Sch AL-TOU Cust Fcst'!$D20*'Non-Residential TSM UC Adj'!K21</f>
        <v>18997.146030532505</v>
      </c>
      <c r="L21" s="23">
        <f>'Sch AL-TOU Cust Fcst'!$D20*'Non-Residential TSM UC Adj'!L21</f>
        <v>1731.3517005829883</v>
      </c>
      <c r="M21" s="41">
        <f>IF(SUM(J21:L21)=0,0,SUM(J21:L21)/'Sch AL-TOU Cust Fcst'!D20)</f>
        <v>27132.468089898804</v>
      </c>
      <c r="N21" s="109">
        <f>'Sch AL-TOU Cust Fcst'!$E20*'Non-Residential TSM UC Adj'!N21</f>
        <v>70842.286430848922</v>
      </c>
      <c r="O21" s="23">
        <f>'Sch AL-TOU Cust Fcst'!$E20*'Non-Residential TSM UC Adj'!O21</f>
        <v>19406.903079622414</v>
      </c>
      <c r="P21" s="23">
        <f>'Sch AL-TOU Cust Fcst'!$E20*'Non-Residential TSM UC Adj'!P21</f>
        <v>4328.3792514574707</v>
      </c>
      <c r="Q21" s="41">
        <f>IF(SUM(N21:P21)=0,0,SUM(N21:P21)/'Sch AL-TOU Cust Fcst'!E20)</f>
        <v>18915.513752385763</v>
      </c>
      <c r="R21" s="109">
        <f t="shared" si="2"/>
        <v>104378.72487953104</v>
      </c>
      <c r="S21" s="23">
        <f t="shared" si="0"/>
        <v>38404.04911015492</v>
      </c>
      <c r="T21" s="23">
        <f t="shared" si="0"/>
        <v>6059.7309520404588</v>
      </c>
      <c r="U21" s="41">
        <f>IF(SUM(R21:T21)=0,0,SUM(R21:T21)/'Sch AL-TOU Cust Fcst'!F20)</f>
        <v>21263.214991675202</v>
      </c>
      <c r="V21" s="33">
        <f>'Sch AL-TOU Cust Fcst'!$G20*'Non-Residential TSM UC Adj'!R21</f>
        <v>0</v>
      </c>
      <c r="W21" s="33">
        <f>'Sch AL-TOU Cust Fcst'!$G20*'Non-Residential TSM UC Adj'!S21</f>
        <v>0</v>
      </c>
      <c r="X21" s="33">
        <f>'Sch AL-TOU Cust Fcst'!$G20*'Non-Residential TSM UC Adj'!T21</f>
        <v>0</v>
      </c>
      <c r="Y21" s="41">
        <f>IF(SUM(V21:X21)=0,0,SUM(V21:X21)/'Sch AL-TOU Cust Fcst'!G20)</f>
        <v>0</v>
      </c>
      <c r="Z21" s="33">
        <f>'Sch AL-TOU Cust Fcst'!$H20*'Non-Residential TSM UC Adj'!R21</f>
        <v>0</v>
      </c>
      <c r="AA21" s="33">
        <f>'Sch AL-TOU Cust Fcst'!$H20*'Non-Residential TSM UC Adj'!W21</f>
        <v>0</v>
      </c>
      <c r="AB21" s="33">
        <f>'Sch AL-TOU Cust Fcst'!$H20*'Non-Residential TSM UC Adj'!X21</f>
        <v>0</v>
      </c>
      <c r="AC21" s="41">
        <f>IF(SUM(Z21:AB21)=0,0,SUM(Z21:AB21)/'Sch AL-TOU Cust Fcst'!H20)</f>
        <v>0</v>
      </c>
      <c r="AD21" s="23">
        <f t="shared" si="3"/>
        <v>104378.72487953104</v>
      </c>
      <c r="AE21" s="23">
        <f t="shared" si="1"/>
        <v>38404.04911015492</v>
      </c>
      <c r="AF21" s="23">
        <f t="shared" si="1"/>
        <v>6059.7309520404588</v>
      </c>
      <c r="AG21" s="41">
        <f>IF(SUM(AD21:AF21)=0,0,SUM(AD21:AF21)/'Sch AL-TOU Cust Fcst'!I20)</f>
        <v>21263.214991675202</v>
      </c>
    </row>
    <row r="22" spans="1:33" ht="13">
      <c r="A22" s="124" t="s">
        <v>14</v>
      </c>
      <c r="B22" s="109">
        <f>'Sch AL-TOU Cust Fcst'!$B21*'Non-Residential TSM UC Adj'!J22</f>
        <v>0</v>
      </c>
      <c r="C22" s="23">
        <f>'Sch AL-TOU Cust Fcst'!$B21*'Non-Residential TSM UC Adj'!K22</f>
        <v>0</v>
      </c>
      <c r="D22" s="23">
        <f>'Sch AL-TOU Cust Fcst'!$B21*'Non-Residential TSM UC Adj'!L22</f>
        <v>0</v>
      </c>
      <c r="E22" s="41">
        <f>IF(SUM(B22:D22)=0,0,SUM(B22:D22)/'Sch AL-TOU Cust Fcst'!B21)</f>
        <v>0</v>
      </c>
      <c r="F22" s="109">
        <f>'Sch AL-TOU Cust Fcst'!$C21*'Non-Residential TSM UC Adj'!J22</f>
        <v>0</v>
      </c>
      <c r="G22" s="23">
        <f>'Sch AL-TOU Cust Fcst'!$C21*'Non-Residential TSM UC Adj'!K22</f>
        <v>0</v>
      </c>
      <c r="H22" s="23">
        <f>'Sch AL-TOU Cust Fcst'!$C21*'Non-Residential TSM UC Adj'!L22</f>
        <v>0</v>
      </c>
      <c r="I22" s="41">
        <f>IF(SUM(F22:H22)=0,0,SUM(F22:H22)/'Sch AL-TOU Cust Fcst'!C21)</f>
        <v>0</v>
      </c>
      <c r="J22" s="109">
        <f>'Sch AL-TOU Cust Fcst'!$D21*'Non-Residential TSM UC Adj'!J22</f>
        <v>0</v>
      </c>
      <c r="K22" s="23">
        <f>'Sch AL-TOU Cust Fcst'!$D21*'Non-Residential TSM UC Adj'!K22</f>
        <v>0</v>
      </c>
      <c r="L22" s="23">
        <f>'Sch AL-TOU Cust Fcst'!$D21*'Non-Residential TSM UC Adj'!L22</f>
        <v>0</v>
      </c>
      <c r="M22" s="41">
        <f>IF(SUM(J22:L22)=0,0,SUM(J22:L22)/'Sch AL-TOU Cust Fcst'!D21)</f>
        <v>0</v>
      </c>
      <c r="N22" s="109">
        <f>'Sch AL-TOU Cust Fcst'!$E21*'Non-Residential TSM UC Adj'!N22</f>
        <v>283369.14572339569</v>
      </c>
      <c r="O22" s="23">
        <f>'Sch AL-TOU Cust Fcst'!$E21*'Non-Residential TSM UC Adj'!O22</f>
        <v>63323.820101775018</v>
      </c>
      <c r="P22" s="23">
        <f>'Sch AL-TOU Cust Fcst'!$E21*'Non-Residential TSM UC Adj'!P22</f>
        <v>8656.7585029149413</v>
      </c>
      <c r="Q22" s="41">
        <f>IF(SUM(N22:P22)=0,0,SUM(N22:P22)/'Sch AL-TOU Cust Fcst'!E21)</f>
        <v>35534.972432808558</v>
      </c>
      <c r="R22" s="109">
        <f t="shared" si="2"/>
        <v>283369.14572339569</v>
      </c>
      <c r="S22" s="23">
        <f t="shared" si="0"/>
        <v>63323.820101775018</v>
      </c>
      <c r="T22" s="23">
        <f t="shared" si="0"/>
        <v>8656.7585029149413</v>
      </c>
      <c r="U22" s="41">
        <f>IF(SUM(R22:T22)=0,0,SUM(R22:T22)/'Sch AL-TOU Cust Fcst'!F21)</f>
        <v>35534.972432808558</v>
      </c>
      <c r="V22" s="33">
        <f>'Sch AL-TOU Cust Fcst'!$G21*'Non-Residential TSM UC Adj'!R22</f>
        <v>0</v>
      </c>
      <c r="W22" s="33">
        <f>'Sch AL-TOU Cust Fcst'!$G21*'Non-Residential TSM UC Adj'!S22</f>
        <v>9389.781938826658</v>
      </c>
      <c r="X22" s="33">
        <f>'Sch AL-TOU Cust Fcst'!$G21*'Non-Residential TSM UC Adj'!T22</f>
        <v>2903.4649150578125</v>
      </c>
      <c r="Y22" s="41">
        <f>IF(SUM(V22:X22)=0,0,SUM(V22:X22)/'Sch AL-TOU Cust Fcst'!G21)</f>
        <v>4097.7489512948232</v>
      </c>
      <c r="Z22" s="33">
        <f>'Sch AL-TOU Cust Fcst'!$H21*'Non-Residential TSM UC Adj'!R22</f>
        <v>0</v>
      </c>
      <c r="AA22" s="33">
        <f>'Sch AL-TOU Cust Fcst'!$H21*'Non-Residential TSM UC Adj'!W22</f>
        <v>0</v>
      </c>
      <c r="AB22" s="33">
        <f>'Sch AL-TOU Cust Fcst'!$H21*'Non-Residential TSM UC Adj'!X22</f>
        <v>0</v>
      </c>
      <c r="AC22" s="41">
        <f>IF(SUM(Z22:AB22)=0,0,SUM(Z22:AB22)/'Sch AL-TOU Cust Fcst'!H21)</f>
        <v>0</v>
      </c>
      <c r="AD22" s="23">
        <f t="shared" si="3"/>
        <v>283369.14572339569</v>
      </c>
      <c r="AE22" s="23">
        <f t="shared" si="1"/>
        <v>72713.602040601676</v>
      </c>
      <c r="AF22" s="23">
        <f t="shared" si="1"/>
        <v>11560.223417972753</v>
      </c>
      <c r="AG22" s="41">
        <f>IF(SUM(AD22:AF22)=0,0,SUM(AD22:AF22)/'Sch AL-TOU Cust Fcst'!I21)</f>
        <v>28280.228552459237</v>
      </c>
    </row>
    <row r="23" spans="1:33" ht="13">
      <c r="A23" s="126" t="s">
        <v>15</v>
      </c>
      <c r="B23" s="109">
        <f>'Sch AL-TOU Cust Fcst'!$B22*'Non-Residential TSM UC Adj'!J23</f>
        <v>0</v>
      </c>
      <c r="C23" s="23">
        <f>'Sch AL-TOU Cust Fcst'!$B22*'Non-Residential TSM UC Adj'!K23</f>
        <v>0</v>
      </c>
      <c r="D23" s="23">
        <f>'Sch AL-TOU Cust Fcst'!$B22*'Non-Residential TSM UC Adj'!L23</f>
        <v>0</v>
      </c>
      <c r="E23" s="41">
        <f>IF(SUM(B23:D23)=0,0,SUM(B23:D23)/'Sch AL-TOU Cust Fcst'!B22)</f>
        <v>0</v>
      </c>
      <c r="F23" s="109">
        <f>'Sch AL-TOU Cust Fcst'!$C22*'Non-Residential TSM UC Adj'!J23</f>
        <v>0</v>
      </c>
      <c r="G23" s="23">
        <f>'Sch AL-TOU Cust Fcst'!$C22*'Non-Residential TSM UC Adj'!K23</f>
        <v>0</v>
      </c>
      <c r="H23" s="23">
        <f>'Sch AL-TOU Cust Fcst'!$C22*'Non-Residential TSM UC Adj'!L23</f>
        <v>0</v>
      </c>
      <c r="I23" s="41">
        <f>IF(SUM(F23:H23)=0,0,SUM(F23:H23)/'Sch AL-TOU Cust Fcst'!C22)</f>
        <v>0</v>
      </c>
      <c r="J23" s="109">
        <f>'Sch AL-TOU Cust Fcst'!$D22*'Non-Residential TSM UC Adj'!J23</f>
        <v>0</v>
      </c>
      <c r="K23" s="23">
        <f>'Sch AL-TOU Cust Fcst'!$D22*'Non-Residential TSM UC Adj'!K23</f>
        <v>0</v>
      </c>
      <c r="L23" s="23">
        <f>'Sch AL-TOU Cust Fcst'!$D22*'Non-Residential TSM UC Adj'!L23</f>
        <v>0</v>
      </c>
      <c r="M23" s="41">
        <f>IF(SUM(J23:L23)=0,0,SUM(J23:L23)/'Sch AL-TOU Cust Fcst'!D22)</f>
        <v>0</v>
      </c>
      <c r="N23" s="109">
        <f>'Sch AL-TOU Cust Fcst'!$E22*'Non-Residential TSM UC Adj'!N23</f>
        <v>68706.031701997461</v>
      </c>
      <c r="O23" s="23">
        <f>'Sch AL-TOU Cust Fcst'!$E22*'Non-Residential TSM UC Adj'!O23</f>
        <v>12664.764020355004</v>
      </c>
      <c r="P23" s="23">
        <f>'Sch AL-TOU Cust Fcst'!$E22*'Non-Residential TSM UC Adj'!P23</f>
        <v>1731.3517005829883</v>
      </c>
      <c r="Q23" s="41">
        <f>IF(SUM(N23:P23)=0,0,SUM(N23:P23)/'Sch AL-TOU Cust Fcst'!E22)</f>
        <v>41551.073711467725</v>
      </c>
      <c r="R23" s="109">
        <f t="shared" si="2"/>
        <v>68706.031701997461</v>
      </c>
      <c r="S23" s="23">
        <f t="shared" si="2"/>
        <v>12664.764020355004</v>
      </c>
      <c r="T23" s="23">
        <f t="shared" si="2"/>
        <v>1731.3517005829883</v>
      </c>
      <c r="U23" s="41">
        <f>IF(SUM(R23:T23)=0,0,SUM(R23:T23)/'Sch AL-TOU Cust Fcst'!F22)</f>
        <v>41551.073711467725</v>
      </c>
      <c r="V23" s="33">
        <f>'Sch AL-TOU Cust Fcst'!$G22*'Non-Residential TSM UC Adj'!R23</f>
        <v>0</v>
      </c>
      <c r="W23" s="33">
        <f>'Sch AL-TOU Cust Fcst'!$G22*'Non-Residential TSM UC Adj'!S23</f>
        <v>0</v>
      </c>
      <c r="X23" s="33">
        <f>'Sch AL-TOU Cust Fcst'!$G22*'Non-Residential TSM UC Adj'!T23</f>
        <v>0</v>
      </c>
      <c r="Y23" s="41">
        <f>IF(SUM(V23:X23)=0,0,SUM(V23:X23)/'Sch AL-TOU Cust Fcst'!G22)</f>
        <v>0</v>
      </c>
      <c r="Z23" s="33">
        <f>'Sch AL-TOU Cust Fcst'!$H22*'Non-Residential TSM UC Adj'!R23</f>
        <v>0</v>
      </c>
      <c r="AA23" s="33">
        <f>'Sch AL-TOU Cust Fcst'!$H22*'Non-Residential TSM UC Adj'!W23</f>
        <v>0</v>
      </c>
      <c r="AB23" s="33">
        <f>'Sch AL-TOU Cust Fcst'!$H22*'Non-Residential TSM UC Adj'!X23</f>
        <v>0</v>
      </c>
      <c r="AC23" s="41">
        <f>IF(SUM(Z23:AB23)=0,0,SUM(Z23:AB23)/'Sch AL-TOU Cust Fcst'!H22)</f>
        <v>0</v>
      </c>
      <c r="AD23" s="23">
        <f t="shared" si="3"/>
        <v>68706.031701997461</v>
      </c>
      <c r="AE23" s="23">
        <f t="shared" ref="AE23:AE37" si="4">S23+W23+AA23</f>
        <v>12664.764020355004</v>
      </c>
      <c r="AF23" s="23">
        <f t="shared" ref="AF23:AF37" si="5">T23+X23+AB23</f>
        <v>1731.3517005829883</v>
      </c>
      <c r="AG23" s="41">
        <f>IF(SUM(AD23:AF23)=0,0,SUM(AD23:AF23)/'Sch AL-TOU Cust Fcst'!I22)</f>
        <v>41551.073711467725</v>
      </c>
    </row>
    <row r="24" spans="1:33" ht="13">
      <c r="A24" s="126" t="s">
        <v>16</v>
      </c>
      <c r="B24" s="109">
        <f>'Sch AL-TOU Cust Fcst'!$B23*'Non-Residential TSM UC Adj'!J24</f>
        <v>0</v>
      </c>
      <c r="C24" s="23">
        <f>'Sch AL-TOU Cust Fcst'!$B23*'Non-Residential TSM UC Adj'!K24</f>
        <v>0</v>
      </c>
      <c r="D24" s="23">
        <f>'Sch AL-TOU Cust Fcst'!$B23*'Non-Residential TSM UC Adj'!L24</f>
        <v>0</v>
      </c>
      <c r="E24" s="41">
        <f>IF(SUM(B24:D24)=0,0,SUM(B24:D24)/'Sch AL-TOU Cust Fcst'!B23)</f>
        <v>0</v>
      </c>
      <c r="F24" s="109">
        <f>'Sch AL-TOU Cust Fcst'!$C23*'Non-Residential TSM UC Adj'!J24</f>
        <v>0</v>
      </c>
      <c r="G24" s="23">
        <f>'Sch AL-TOU Cust Fcst'!$C23*'Non-Residential TSM UC Adj'!K24</f>
        <v>0</v>
      </c>
      <c r="H24" s="23">
        <f>'Sch AL-TOU Cust Fcst'!$C23*'Non-Residential TSM UC Adj'!L24</f>
        <v>0</v>
      </c>
      <c r="I24" s="41">
        <f>IF(SUM(F24:H24)=0,0,SUM(F24:H24)/'Sch AL-TOU Cust Fcst'!C23)</f>
        <v>0</v>
      </c>
      <c r="J24" s="109">
        <f>'Sch AL-TOU Cust Fcst'!$D23*'Non-Residential TSM UC Adj'!J24</f>
        <v>0</v>
      </c>
      <c r="K24" s="23">
        <f>'Sch AL-TOU Cust Fcst'!$D23*'Non-Residential TSM UC Adj'!K24</f>
        <v>0</v>
      </c>
      <c r="L24" s="23">
        <f>'Sch AL-TOU Cust Fcst'!$D23*'Non-Residential TSM UC Adj'!L24</f>
        <v>0</v>
      </c>
      <c r="M24" s="41">
        <f>IF(SUM(J24:L24)=0,0,SUM(J24:L24)/'Sch AL-TOU Cust Fcst'!D23)</f>
        <v>0</v>
      </c>
      <c r="N24" s="109">
        <f>'Sch AL-TOU Cust Fcst'!$E23*'Non-Residential TSM UC Adj'!N24</f>
        <v>0</v>
      </c>
      <c r="O24" s="23">
        <f>'Sch AL-TOU Cust Fcst'!$E23*'Non-Residential TSM UC Adj'!O24</f>
        <v>0</v>
      </c>
      <c r="P24" s="23">
        <f>'Sch AL-TOU Cust Fcst'!$E23*'Non-Residential TSM UC Adj'!P24</f>
        <v>0</v>
      </c>
      <c r="Q24" s="41">
        <f>IF(SUM(N24:P24)=0,0,SUM(N24:P24)/'Sch AL-TOU Cust Fcst'!E23)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IF(SUM(R24:T24)=0,0,SUM(R24:T24)/'Sch AL-TOU Cust Fcst'!F23)</f>
        <v>0</v>
      </c>
      <c r="V24" s="33">
        <f>'Sch AL-TOU Cust Fcst'!$G23*'Non-Residential TSM UC Adj'!R24</f>
        <v>0</v>
      </c>
      <c r="W24" s="33">
        <f>'Sch AL-TOU Cust Fcst'!$G23*'Non-Residential TSM UC Adj'!S24</f>
        <v>3129.9273129422195</v>
      </c>
      <c r="X24" s="33">
        <f>'Sch AL-TOU Cust Fcst'!$G23*'Non-Residential TSM UC Adj'!T24</f>
        <v>967.82163835260417</v>
      </c>
      <c r="Y24" s="41">
        <f>IF(SUM(V24:X24)=0,0,SUM(V24:X24)/'Sch AL-TOU Cust Fcst'!G23)</f>
        <v>4097.7489512948232</v>
      </c>
      <c r="Z24" s="33">
        <f>'Sch AL-TOU Cust Fcst'!$H23*'Non-Residential TSM UC Adj'!R24</f>
        <v>0</v>
      </c>
      <c r="AA24" s="33">
        <f>'Sch AL-TOU Cust Fcst'!$H23*'Non-Residential TSM UC Adj'!W24</f>
        <v>0</v>
      </c>
      <c r="AB24" s="33">
        <f>'Sch AL-TOU Cust Fcst'!$H23*'Non-Residential TSM UC Adj'!X24</f>
        <v>0</v>
      </c>
      <c r="AC24" s="41">
        <f>IF(SUM(Z24:AB24)=0,0,SUM(Z24:AB24)/'Sch AL-TOU Cust Fcst'!H23)</f>
        <v>0</v>
      </c>
      <c r="AD24" s="23">
        <f t="shared" si="3"/>
        <v>0</v>
      </c>
      <c r="AE24" s="23">
        <f t="shared" si="4"/>
        <v>3129.9273129422195</v>
      </c>
      <c r="AF24" s="23">
        <f t="shared" si="5"/>
        <v>967.82163835260417</v>
      </c>
      <c r="AG24" s="41">
        <f>IF(SUM(AD24:AF24)=0,0,SUM(AD24:AF24)/'Sch AL-TOU Cust Fcst'!I23)</f>
        <v>4097.7489512948232</v>
      </c>
    </row>
    <row r="25" spans="1:33" ht="13">
      <c r="A25" s="126" t="s">
        <v>17</v>
      </c>
      <c r="B25" s="109">
        <f>'Sch AL-TOU Cust Fcst'!$B24*'Non-Residential TSM UC Adj'!J25</f>
        <v>0</v>
      </c>
      <c r="C25" s="23">
        <f>'Sch AL-TOU Cust Fcst'!$B24*'Non-Residential TSM UC Adj'!K25</f>
        <v>0</v>
      </c>
      <c r="D25" s="23">
        <f>'Sch AL-TOU Cust Fcst'!$B24*'Non-Residential TSM UC Adj'!L25</f>
        <v>0</v>
      </c>
      <c r="E25" s="41">
        <f>IF(SUM(B25:D25)=0,0,SUM(B25:D25)/'Sch AL-TOU Cust Fcst'!B24)</f>
        <v>0</v>
      </c>
      <c r="F25" s="109">
        <f>'Sch AL-TOU Cust Fcst'!$C24*'Non-Residential TSM UC Adj'!J25</f>
        <v>0</v>
      </c>
      <c r="G25" s="23">
        <f>'Sch AL-TOU Cust Fcst'!$C24*'Non-Residential TSM UC Adj'!K25</f>
        <v>0</v>
      </c>
      <c r="H25" s="23">
        <f>'Sch AL-TOU Cust Fcst'!$C24*'Non-Residential TSM UC Adj'!L25</f>
        <v>0</v>
      </c>
      <c r="I25" s="41">
        <f>IF(SUM(F25:H25)=0,0,SUM(F25:H25)/'Sch AL-TOU Cust Fcst'!C24)</f>
        <v>0</v>
      </c>
      <c r="J25" s="109">
        <f>'Sch AL-TOU Cust Fcst'!$D24*'Non-Residential TSM UC Adj'!J25</f>
        <v>0</v>
      </c>
      <c r="K25" s="23">
        <f>'Sch AL-TOU Cust Fcst'!$D24*'Non-Residential TSM UC Adj'!K25</f>
        <v>0</v>
      </c>
      <c r="L25" s="23">
        <f>'Sch AL-TOU Cust Fcst'!$D24*'Non-Residential TSM UC Adj'!L25</f>
        <v>0</v>
      </c>
      <c r="M25" s="41">
        <f>IF(SUM(J25:L25)=0,0,SUM(J25:L25)/'Sch AL-TOU Cust Fcst'!D24)</f>
        <v>0</v>
      </c>
      <c r="N25" s="109">
        <f>'Sch AL-TOU Cust Fcst'!$E24*'Non-Residential TSM UC Adj'!N25</f>
        <v>119068.81456454728</v>
      </c>
      <c r="O25" s="23">
        <f>'Sch AL-TOU Cust Fcst'!$E24*'Non-Residential TSM UC Adj'!O25</f>
        <v>28495.71904579876</v>
      </c>
      <c r="P25" s="23">
        <f>'Sch AL-TOU Cust Fcst'!$E24*'Non-Residential TSM UC Adj'!P25</f>
        <v>2597.0275508744826</v>
      </c>
      <c r="Q25" s="41">
        <f>IF(SUM(N25:P25)=0,0,SUM(N25:P25)/'Sch AL-TOU Cust Fcst'!E24)</f>
        <v>50053.853720406834</v>
      </c>
      <c r="R25" s="109">
        <f t="shared" si="2"/>
        <v>119068.81456454728</v>
      </c>
      <c r="S25" s="23">
        <f t="shared" si="2"/>
        <v>28495.71904579876</v>
      </c>
      <c r="T25" s="23">
        <f t="shared" si="2"/>
        <v>2597.0275508744826</v>
      </c>
      <c r="U25" s="41">
        <f>IF(SUM(R25:T25)=0,0,SUM(R25:T25)/'Sch AL-TOU Cust Fcst'!F24)</f>
        <v>50053.853720406834</v>
      </c>
      <c r="V25" s="33">
        <f>'Sch AL-TOU Cust Fcst'!$G24*'Non-Residential TSM UC Adj'!R25</f>
        <v>0</v>
      </c>
      <c r="W25" s="33">
        <f>'Sch AL-TOU Cust Fcst'!$G24*'Non-Residential TSM UC Adj'!S25</f>
        <v>12519.709251768878</v>
      </c>
      <c r="X25" s="33">
        <f>'Sch AL-TOU Cust Fcst'!$G24*'Non-Residential TSM UC Adj'!T25</f>
        <v>3871.2865534104167</v>
      </c>
      <c r="Y25" s="41">
        <f>IF(SUM(V25:X25)=0,0,SUM(V25:X25)/'Sch AL-TOU Cust Fcst'!G24)</f>
        <v>4097.7489512948232</v>
      </c>
      <c r="Z25" s="33">
        <f>'Sch AL-TOU Cust Fcst'!$H24*'Non-Residential TSM UC Adj'!R25</f>
        <v>0</v>
      </c>
      <c r="AA25" s="33">
        <f>'Sch AL-TOU Cust Fcst'!$H24*'Non-Residential TSM UC Adj'!W25</f>
        <v>0</v>
      </c>
      <c r="AB25" s="33">
        <f>'Sch AL-TOU Cust Fcst'!$H24*'Non-Residential TSM UC Adj'!X25</f>
        <v>0</v>
      </c>
      <c r="AC25" s="41">
        <f>IF(SUM(Z25:AB25)=0,0,SUM(Z25:AB25)/'Sch AL-TOU Cust Fcst'!H24)</f>
        <v>0</v>
      </c>
      <c r="AD25" s="23">
        <f t="shared" si="3"/>
        <v>119068.81456454728</v>
      </c>
      <c r="AE25" s="23">
        <f t="shared" si="4"/>
        <v>41015.42829756764</v>
      </c>
      <c r="AF25" s="23">
        <f t="shared" si="5"/>
        <v>6468.3141042848993</v>
      </c>
      <c r="AG25" s="41">
        <f>IF(SUM(AD25:AF25)=0,0,SUM(AD25:AF25)/'Sch AL-TOU Cust Fcst'!I24)</f>
        <v>23793.2224237714</v>
      </c>
    </row>
    <row r="26" spans="1:33" ht="13">
      <c r="A26" s="126" t="s">
        <v>18</v>
      </c>
      <c r="B26" s="109">
        <f>'Sch AL-TOU Cust Fcst'!$B25*'Non-Residential TSM UC Adj'!J26</f>
        <v>0</v>
      </c>
      <c r="C26" s="23">
        <f>'Sch AL-TOU Cust Fcst'!$B25*'Non-Residential TSM UC Adj'!K26</f>
        <v>0</v>
      </c>
      <c r="D26" s="23">
        <f>'Sch AL-TOU Cust Fcst'!$B25*'Non-Residential TSM UC Adj'!L26</f>
        <v>0</v>
      </c>
      <c r="E26" s="41">
        <f>IF(SUM(B26:D26)=0,0,SUM(B26:D26)/'Sch AL-TOU Cust Fcst'!B25)</f>
        <v>0</v>
      </c>
      <c r="F26" s="109">
        <f>'Sch AL-TOU Cust Fcst'!$C25*'Non-Residential TSM UC Adj'!J26</f>
        <v>0</v>
      </c>
      <c r="G26" s="23">
        <f>'Sch AL-TOU Cust Fcst'!$C25*'Non-Residential TSM UC Adj'!K26</f>
        <v>0</v>
      </c>
      <c r="H26" s="23">
        <f>'Sch AL-TOU Cust Fcst'!$C25*'Non-Residential TSM UC Adj'!L26</f>
        <v>0</v>
      </c>
      <c r="I26" s="41">
        <f>IF(SUM(F26:H26)=0,0,SUM(F26:H26)/'Sch AL-TOU Cust Fcst'!C25)</f>
        <v>0</v>
      </c>
      <c r="J26" s="109">
        <f>'Sch AL-TOU Cust Fcst'!$D25*'Non-Residential TSM UC Adj'!J26</f>
        <v>0</v>
      </c>
      <c r="K26" s="23">
        <f>'Sch AL-TOU Cust Fcst'!$D25*'Non-Residential TSM UC Adj'!K26</f>
        <v>0</v>
      </c>
      <c r="L26" s="23">
        <f>'Sch AL-TOU Cust Fcst'!$D25*'Non-Residential TSM UC Adj'!L26</f>
        <v>0</v>
      </c>
      <c r="M26" s="41">
        <f>IF(SUM(J26:L26)=0,0,SUM(J26:L26)/'Sch AL-TOU Cust Fcst'!D25)</f>
        <v>0</v>
      </c>
      <c r="N26" s="109">
        <f>'Sch AL-TOU Cust Fcst'!$E25*'Non-Residential TSM UC Adj'!N26</f>
        <v>39689.604854849094</v>
      </c>
      <c r="O26" s="23">
        <f>'Sch AL-TOU Cust Fcst'!$E25*'Non-Residential TSM UC Adj'!O26</f>
        <v>12664.764020355004</v>
      </c>
      <c r="P26" s="23">
        <f>'Sch AL-TOU Cust Fcst'!$E25*'Non-Residential TSM UC Adj'!P26</f>
        <v>865.67585029149416</v>
      </c>
      <c r="Q26" s="41">
        <f>IF(SUM(N26:P26)=0,0,SUM(N26:P26)/'Sch AL-TOU Cust Fcst'!E25)</f>
        <v>53220.044725495594</v>
      </c>
      <c r="R26" s="109">
        <f t="shared" si="2"/>
        <v>39689.604854849094</v>
      </c>
      <c r="S26" s="23">
        <f t="shared" si="2"/>
        <v>12664.764020355004</v>
      </c>
      <c r="T26" s="23">
        <f t="shared" si="2"/>
        <v>865.67585029149416</v>
      </c>
      <c r="U26" s="41">
        <f>IF(SUM(R26:T26)=0,0,SUM(R26:T26)/'Sch AL-TOU Cust Fcst'!F25)</f>
        <v>53220.044725495594</v>
      </c>
      <c r="V26" s="33">
        <f>'Sch AL-TOU Cust Fcst'!$G25*'Non-Residential TSM UC Adj'!R26</f>
        <v>0</v>
      </c>
      <c r="W26" s="33">
        <f>'Sch AL-TOU Cust Fcst'!$G25*'Non-Residential TSM UC Adj'!S26</f>
        <v>3129.9273129422195</v>
      </c>
      <c r="X26" s="33">
        <f>'Sch AL-TOU Cust Fcst'!$G25*'Non-Residential TSM UC Adj'!T26</f>
        <v>967.82163835260417</v>
      </c>
      <c r="Y26" s="41">
        <f>IF(SUM(V26:X26)=0,0,SUM(V26:X26)/'Sch AL-TOU Cust Fcst'!G25)</f>
        <v>4097.7489512948232</v>
      </c>
      <c r="Z26" s="33">
        <f>'Sch AL-TOU Cust Fcst'!$H25*'Non-Residential TSM UC Adj'!R26</f>
        <v>0</v>
      </c>
      <c r="AA26" s="33">
        <f>'Sch AL-TOU Cust Fcst'!$H25*'Non-Residential TSM UC Adj'!W26</f>
        <v>0</v>
      </c>
      <c r="AB26" s="33">
        <f>'Sch AL-TOU Cust Fcst'!$H25*'Non-Residential TSM UC Adj'!X26</f>
        <v>0</v>
      </c>
      <c r="AC26" s="41">
        <f>IF(SUM(Z26:AB26)=0,0,SUM(Z26:AB26)/'Sch AL-TOU Cust Fcst'!H25)</f>
        <v>0</v>
      </c>
      <c r="AD26" s="23">
        <f t="shared" si="3"/>
        <v>39689.604854849094</v>
      </c>
      <c r="AE26" s="23">
        <f t="shared" si="4"/>
        <v>15794.691333297224</v>
      </c>
      <c r="AF26" s="23">
        <f t="shared" si="5"/>
        <v>1833.4974886440982</v>
      </c>
      <c r="AG26" s="41">
        <f>IF(SUM(AD26:AF26)=0,0,SUM(AD26:AF26)/'Sch AL-TOU Cust Fcst'!I25)</f>
        <v>28658.896838395209</v>
      </c>
    </row>
    <row r="27" spans="1:33" ht="13">
      <c r="A27" s="126" t="s">
        <v>19</v>
      </c>
      <c r="B27" s="109">
        <f>'Sch AL-TOU Cust Fcst'!$B26*'Non-Residential TSM UC Adj'!J27</f>
        <v>0</v>
      </c>
      <c r="C27" s="23">
        <f>'Sch AL-TOU Cust Fcst'!$B26*'Non-Residential TSM UC Adj'!K27</f>
        <v>0</v>
      </c>
      <c r="D27" s="23">
        <f>'Sch AL-TOU Cust Fcst'!$B26*'Non-Residential TSM UC Adj'!L27</f>
        <v>0</v>
      </c>
      <c r="E27" s="41">
        <f>IF(SUM(B27:D27)=0,0,SUM(B27:D27)/'Sch AL-TOU Cust Fcst'!B26)</f>
        <v>0</v>
      </c>
      <c r="F27" s="109">
        <f>'Sch AL-TOU Cust Fcst'!$C26*'Non-Residential TSM UC Adj'!J27</f>
        <v>0</v>
      </c>
      <c r="G27" s="23">
        <f>'Sch AL-TOU Cust Fcst'!$C26*'Non-Residential TSM UC Adj'!K27</f>
        <v>0</v>
      </c>
      <c r="H27" s="23">
        <f>'Sch AL-TOU Cust Fcst'!$C26*'Non-Residential TSM UC Adj'!L27</f>
        <v>0</v>
      </c>
      <c r="I27" s="41">
        <f>IF(SUM(F27:H27)=0,0,SUM(F27:H27)/'Sch AL-TOU Cust Fcst'!C26)</f>
        <v>0</v>
      </c>
      <c r="J27" s="109">
        <f>'Sch AL-TOU Cust Fcst'!$D26*'Non-Residential TSM UC Adj'!J27</f>
        <v>0</v>
      </c>
      <c r="K27" s="23">
        <f>'Sch AL-TOU Cust Fcst'!$D26*'Non-Residential TSM UC Adj'!K27</f>
        <v>0</v>
      </c>
      <c r="L27" s="23">
        <f>'Sch AL-TOU Cust Fcst'!$D26*'Non-Residential TSM UC Adj'!L27</f>
        <v>0</v>
      </c>
      <c r="M27" s="41">
        <f>IF(SUM(J27:L27)=0,0,SUM(J27:L27)/'Sch AL-TOU Cust Fcst'!D26)</f>
        <v>0</v>
      </c>
      <c r="N27" s="109">
        <f>'Sch AL-TOU Cust Fcst'!$E26*'Non-Residential TSM UC Adj'!N27</f>
        <v>0</v>
      </c>
      <c r="O27" s="23">
        <f>'Sch AL-TOU Cust Fcst'!$E26*'Non-Residential TSM UC Adj'!O27</f>
        <v>0</v>
      </c>
      <c r="P27" s="23">
        <f>'Sch AL-TOU Cust Fcst'!$E26*'Non-Residential TSM UC Adj'!P27</f>
        <v>0</v>
      </c>
      <c r="Q27" s="41">
        <f>IF(SUM(N27:P27)=0,0,SUM(N27:P27)/'Sch AL-TOU Cust Fcst'!E26)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IF(SUM(R27:T27)=0,0,SUM(R27:T27)/'Sch AL-TOU Cust Fcst'!F26)</f>
        <v>0</v>
      </c>
      <c r="V27" s="33">
        <f>'Sch AL-TOU Cust Fcst'!$G26*'Non-Residential TSM UC Adj'!R27</f>
        <v>0</v>
      </c>
      <c r="W27" s="33">
        <f>'Sch AL-TOU Cust Fcst'!$G26*'Non-Residential TSM UC Adj'!S27</f>
        <v>3129.9273129422195</v>
      </c>
      <c r="X27" s="33">
        <f>'Sch AL-TOU Cust Fcst'!$G26*'Non-Residential TSM UC Adj'!T27</f>
        <v>967.82163835260417</v>
      </c>
      <c r="Y27" s="41">
        <f>IF(SUM(V27:X27)=0,0,SUM(V27:X27)/'Sch AL-TOU Cust Fcst'!G26)</f>
        <v>4097.7489512948232</v>
      </c>
      <c r="Z27" s="33">
        <f>'Sch AL-TOU Cust Fcst'!$H26*'Non-Residential TSM UC Adj'!R27</f>
        <v>0</v>
      </c>
      <c r="AA27" s="33">
        <f>'Sch AL-TOU Cust Fcst'!$H26*'Non-Residential TSM UC Adj'!W27</f>
        <v>0</v>
      </c>
      <c r="AB27" s="33">
        <f>'Sch AL-TOU Cust Fcst'!$H26*'Non-Residential TSM UC Adj'!X27</f>
        <v>0</v>
      </c>
      <c r="AC27" s="41">
        <f>IF(SUM(Z27:AB27)=0,0,SUM(Z27:AB27)/'Sch AL-TOU Cust Fcst'!H26)</f>
        <v>0</v>
      </c>
      <c r="AD27" s="23">
        <f t="shared" si="3"/>
        <v>0</v>
      </c>
      <c r="AE27" s="23">
        <f t="shared" si="4"/>
        <v>3129.9273129422195</v>
      </c>
      <c r="AF27" s="23">
        <f t="shared" si="5"/>
        <v>967.82163835260417</v>
      </c>
      <c r="AG27" s="41">
        <f>IF(SUM(AD27:AF27)=0,0,SUM(AD27:AF27)/'Sch AL-TOU Cust Fcst'!I26)</f>
        <v>4097.7489512948232</v>
      </c>
    </row>
    <row r="28" spans="1:33" ht="13">
      <c r="A28" s="126" t="s">
        <v>20</v>
      </c>
      <c r="B28" s="109">
        <f>'Sch AL-TOU Cust Fcst'!$B27*'Non-Residential TSM UC Adj'!J28</f>
        <v>0</v>
      </c>
      <c r="C28" s="23">
        <f>'Sch AL-TOU Cust Fcst'!$B27*'Non-Residential TSM UC Adj'!K28</f>
        <v>0</v>
      </c>
      <c r="D28" s="23">
        <f>'Sch AL-TOU Cust Fcst'!$B27*'Non-Residential TSM UC Adj'!L28</f>
        <v>0</v>
      </c>
      <c r="E28" s="41">
        <f>IF(SUM(B28:D28)=0,0,SUM(B28:D28)/'Sch AL-TOU Cust Fcst'!B27)</f>
        <v>0</v>
      </c>
      <c r="F28" s="109">
        <f>'Sch AL-TOU Cust Fcst'!$C27*'Non-Residential TSM UC Adj'!J28</f>
        <v>0</v>
      </c>
      <c r="G28" s="23">
        <f>'Sch AL-TOU Cust Fcst'!$C27*'Non-Residential TSM UC Adj'!K28</f>
        <v>0</v>
      </c>
      <c r="H28" s="23">
        <f>'Sch AL-TOU Cust Fcst'!$C27*'Non-Residential TSM UC Adj'!L28</f>
        <v>0</v>
      </c>
      <c r="I28" s="41">
        <f>IF(SUM(F28:H28)=0,0,SUM(F28:H28)/'Sch AL-TOU Cust Fcst'!C27)</f>
        <v>0</v>
      </c>
      <c r="J28" s="109">
        <f>'Sch AL-TOU Cust Fcst'!$D27*'Non-Residential TSM UC Adj'!J28</f>
        <v>0</v>
      </c>
      <c r="K28" s="23">
        <f>'Sch AL-TOU Cust Fcst'!$D27*'Non-Residential TSM UC Adj'!K28</f>
        <v>0</v>
      </c>
      <c r="L28" s="23">
        <f>'Sch AL-TOU Cust Fcst'!$D27*'Non-Residential TSM UC Adj'!L28</f>
        <v>0</v>
      </c>
      <c r="M28" s="41">
        <f>IF(SUM(J28:L28)=0,0,SUM(J28:L28)/'Sch AL-TOU Cust Fcst'!D27)</f>
        <v>0</v>
      </c>
      <c r="N28" s="109">
        <f>'Sch AL-TOU Cust Fcst'!$E27*'Non-Residential TSM UC Adj'!N28</f>
        <v>0</v>
      </c>
      <c r="O28" s="23">
        <f>'Sch AL-TOU Cust Fcst'!$E27*'Non-Residential TSM UC Adj'!O28</f>
        <v>0</v>
      </c>
      <c r="P28" s="23">
        <f>'Sch AL-TOU Cust Fcst'!$E27*'Non-Residential TSM UC Adj'!P28</f>
        <v>0</v>
      </c>
      <c r="Q28" s="41">
        <f>IF(SUM(N28:P28)=0,0,SUM(N28:P28)/'Sch AL-TOU Cust Fcst'!E27)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IF(SUM(R28:T28)=0,0,SUM(R28:T28)/'Sch AL-TOU Cust Fcst'!F27)</f>
        <v>0</v>
      </c>
      <c r="V28" s="33">
        <f>'Sch AL-TOU Cust Fcst'!$G27*'Non-Residential TSM UC Adj'!R28</f>
        <v>0</v>
      </c>
      <c r="W28" s="33">
        <f>'Sch AL-TOU Cust Fcst'!$G27*'Non-Residential TSM UC Adj'!S28</f>
        <v>0</v>
      </c>
      <c r="X28" s="33">
        <f>'Sch AL-TOU Cust Fcst'!$G27*'Non-Residential TSM UC Adj'!T28</f>
        <v>0</v>
      </c>
      <c r="Y28" s="41">
        <f>IF(SUM(V28:X28)=0,0,SUM(V28:X28)/'Sch AL-TOU Cust Fcst'!G27)</f>
        <v>0</v>
      </c>
      <c r="Z28" s="33">
        <f>'Sch AL-TOU Cust Fcst'!$H27*'Non-Residential TSM UC Adj'!R28</f>
        <v>0</v>
      </c>
      <c r="AA28" s="33">
        <f>'Sch AL-TOU Cust Fcst'!$H27*'Non-Residential TSM UC Adj'!W28</f>
        <v>0</v>
      </c>
      <c r="AB28" s="33">
        <f>'Sch AL-TOU Cust Fcst'!$H27*'Non-Residential TSM UC Adj'!X28</f>
        <v>0</v>
      </c>
      <c r="AC28" s="41">
        <f>IF(SUM(Z28:AB28)=0,0,SUM(Z28:AB28)/'Sch AL-TOU Cust Fcst'!H27)</f>
        <v>0</v>
      </c>
      <c r="AD28" s="23">
        <f t="shared" si="3"/>
        <v>0</v>
      </c>
      <c r="AE28" s="23">
        <f t="shared" si="4"/>
        <v>0</v>
      </c>
      <c r="AF28" s="23">
        <f t="shared" si="5"/>
        <v>0</v>
      </c>
      <c r="AG28" s="41">
        <f>IF(SUM(AD28:AF28)=0,0,SUM(AD28:AF28)/'Sch AL-TOU Cust Fcst'!I27)</f>
        <v>0</v>
      </c>
    </row>
    <row r="29" spans="1:33" ht="13">
      <c r="A29" s="126" t="s">
        <v>21</v>
      </c>
      <c r="B29" s="109">
        <f>'Sch AL-TOU Cust Fcst'!$B28*'Non-Residential TSM UC Adj'!J29</f>
        <v>0</v>
      </c>
      <c r="C29" s="23">
        <f>'Sch AL-TOU Cust Fcst'!$B28*'Non-Residential TSM UC Adj'!K29</f>
        <v>0</v>
      </c>
      <c r="D29" s="23">
        <f>'Sch AL-TOU Cust Fcst'!$B28*'Non-Residential TSM UC Adj'!L29</f>
        <v>0</v>
      </c>
      <c r="E29" s="41">
        <f>IF(SUM(B29:D29)=0,0,SUM(B29:D29)/'Sch AL-TOU Cust Fcst'!B28)</f>
        <v>0</v>
      </c>
      <c r="F29" s="109">
        <f>'Sch AL-TOU Cust Fcst'!$C28*'Non-Residential TSM UC Adj'!J29</f>
        <v>0</v>
      </c>
      <c r="G29" s="23">
        <f>'Sch AL-TOU Cust Fcst'!$C28*'Non-Residential TSM UC Adj'!K29</f>
        <v>0</v>
      </c>
      <c r="H29" s="23">
        <f>'Sch AL-TOU Cust Fcst'!$C28*'Non-Residential TSM UC Adj'!L29</f>
        <v>0</v>
      </c>
      <c r="I29" s="41">
        <f>IF(SUM(F29:H29)=0,0,SUM(F29:H29)/'Sch AL-TOU Cust Fcst'!C28)</f>
        <v>0</v>
      </c>
      <c r="J29" s="109">
        <f>'Sch AL-TOU Cust Fcst'!$D28*'Non-Residential TSM UC Adj'!J29</f>
        <v>0</v>
      </c>
      <c r="K29" s="23">
        <f>'Sch AL-TOU Cust Fcst'!$D28*'Non-Residential TSM UC Adj'!K29</f>
        <v>0</v>
      </c>
      <c r="L29" s="23">
        <f>'Sch AL-TOU Cust Fcst'!$D28*'Non-Residential TSM UC Adj'!L29</f>
        <v>0</v>
      </c>
      <c r="M29" s="41">
        <f>IF(SUM(J29:L29)=0,0,SUM(J29:L29)/'Sch AL-TOU Cust Fcst'!D28)</f>
        <v>0</v>
      </c>
      <c r="N29" s="109">
        <f>'Sch AL-TOU Cust Fcst'!$E28*'Non-Residential TSM UC Adj'!N29</f>
        <v>0</v>
      </c>
      <c r="O29" s="23">
        <f>'Sch AL-TOU Cust Fcst'!$E28*'Non-Residential TSM UC Adj'!O29</f>
        <v>0</v>
      </c>
      <c r="P29" s="23">
        <f>'Sch AL-TOU Cust Fcst'!$E28*'Non-Residential TSM UC Adj'!P29</f>
        <v>0</v>
      </c>
      <c r="Q29" s="41">
        <f>IF(SUM(N29:P29)=0,0,SUM(N29:P29)/'Sch AL-TOU Cust Fcst'!E28)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IF(SUM(R29:T29)=0,0,SUM(R29:T29)/'Sch AL-TOU Cust Fcst'!F28)</f>
        <v>0</v>
      </c>
      <c r="V29" s="33">
        <f>'Sch AL-TOU Cust Fcst'!$G28*'Non-Residential TSM UC Adj'!R29</f>
        <v>0</v>
      </c>
      <c r="W29" s="33">
        <f>'Sch AL-TOU Cust Fcst'!$G28*'Non-Residential TSM UC Adj'!S29</f>
        <v>0</v>
      </c>
      <c r="X29" s="33">
        <f>'Sch AL-TOU Cust Fcst'!$G28*'Non-Residential TSM UC Adj'!T29</f>
        <v>0</v>
      </c>
      <c r="Y29" s="41">
        <f>IF(SUM(V29:X29)=0,0,SUM(V29:X29)/'Sch AL-TOU Cust Fcst'!G28)</f>
        <v>0</v>
      </c>
      <c r="Z29" s="33">
        <f>'Sch AL-TOU Cust Fcst'!$H28*'Non-Residential TSM UC Adj'!R29</f>
        <v>0</v>
      </c>
      <c r="AA29" s="33">
        <f>'Sch AL-TOU Cust Fcst'!$H28*'Non-Residential TSM UC Adj'!W29</f>
        <v>0</v>
      </c>
      <c r="AB29" s="33">
        <f>'Sch AL-TOU Cust Fcst'!$H28*'Non-Residential TSM UC Adj'!X29</f>
        <v>0</v>
      </c>
      <c r="AC29" s="41">
        <f>IF(SUM(Z29:AB29)=0,0,SUM(Z29:AB29)/'Sch AL-TOU Cust Fcst'!H28)</f>
        <v>0</v>
      </c>
      <c r="AD29" s="23">
        <f t="shared" si="3"/>
        <v>0</v>
      </c>
      <c r="AE29" s="23">
        <f t="shared" si="4"/>
        <v>0</v>
      </c>
      <c r="AF29" s="23">
        <f t="shared" si="5"/>
        <v>0</v>
      </c>
      <c r="AG29" s="41">
        <f>IF(SUM(AD29:AF29)=0,0,SUM(AD29:AF29)/'Sch AL-TOU Cust Fcst'!I28)</f>
        <v>0</v>
      </c>
    </row>
    <row r="30" spans="1:33" ht="13">
      <c r="A30" s="126" t="s">
        <v>22</v>
      </c>
      <c r="B30" s="109">
        <f>'Sch AL-TOU Cust Fcst'!$B29*'Non-Residential TSM UC Adj'!J30</f>
        <v>0</v>
      </c>
      <c r="C30" s="23">
        <f>'Sch AL-TOU Cust Fcst'!$B29*'Non-Residential TSM UC Adj'!K30</f>
        <v>0</v>
      </c>
      <c r="D30" s="23">
        <f>'Sch AL-TOU Cust Fcst'!$B29*'Non-Residential TSM UC Adj'!L30</f>
        <v>0</v>
      </c>
      <c r="E30" s="41">
        <f>IF(SUM(B30:D30)=0,0,SUM(B30:D30)/'Sch AL-TOU Cust Fcst'!B29)</f>
        <v>0</v>
      </c>
      <c r="F30" s="109">
        <f>'Sch AL-TOU Cust Fcst'!$C29*'Non-Residential TSM UC Adj'!J30</f>
        <v>0</v>
      </c>
      <c r="G30" s="23">
        <f>'Sch AL-TOU Cust Fcst'!$C29*'Non-Residential TSM UC Adj'!K30</f>
        <v>0</v>
      </c>
      <c r="H30" s="23">
        <f>'Sch AL-TOU Cust Fcst'!$C29*'Non-Residential TSM UC Adj'!L30</f>
        <v>0</v>
      </c>
      <c r="I30" s="41">
        <f>IF(SUM(F30:H30)=0,0,SUM(F30:H30)/'Sch AL-TOU Cust Fcst'!C29)</f>
        <v>0</v>
      </c>
      <c r="J30" s="109">
        <f>'Sch AL-TOU Cust Fcst'!$D29*'Non-Residential TSM UC Adj'!J30</f>
        <v>0</v>
      </c>
      <c r="K30" s="23">
        <f>'Sch AL-TOU Cust Fcst'!$D29*'Non-Residential TSM UC Adj'!K30</f>
        <v>0</v>
      </c>
      <c r="L30" s="23">
        <f>'Sch AL-TOU Cust Fcst'!$D29*'Non-Residential TSM UC Adj'!L30</f>
        <v>0</v>
      </c>
      <c r="M30" s="41">
        <f>IF(SUM(J30:L30)=0,0,SUM(J30:L30)/'Sch AL-TOU Cust Fcst'!D29)</f>
        <v>0</v>
      </c>
      <c r="N30" s="109">
        <f>'Sch AL-TOU Cust Fcst'!$E29*'Non-Residential TSM UC Adj'!N30</f>
        <v>0</v>
      </c>
      <c r="O30" s="23">
        <f>'Sch AL-TOU Cust Fcst'!$E29*'Non-Residential TSM UC Adj'!O30</f>
        <v>0</v>
      </c>
      <c r="P30" s="23">
        <f>'Sch AL-TOU Cust Fcst'!$E29*'Non-Residential TSM UC Adj'!P30</f>
        <v>0</v>
      </c>
      <c r="Q30" s="41">
        <f>IF(SUM(N30:P30)=0,0,SUM(N30:P30)/'Sch AL-TOU Cust Fcst'!E29)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IF(SUM(R30:T30)=0,0,SUM(R30:T30)/'Sch AL-TOU Cust Fcst'!F29)</f>
        <v>0</v>
      </c>
      <c r="V30" s="33">
        <f>'Sch AL-TOU Cust Fcst'!$G29*'Non-Residential TSM UC Adj'!R30</f>
        <v>0</v>
      </c>
      <c r="W30" s="33">
        <f>'Sch AL-TOU Cust Fcst'!$G29*'Non-Residential TSM UC Adj'!S30</f>
        <v>0</v>
      </c>
      <c r="X30" s="33">
        <f>'Sch AL-TOU Cust Fcst'!$G29*'Non-Residential TSM UC Adj'!T30</f>
        <v>0</v>
      </c>
      <c r="Y30" s="41">
        <f>IF(SUM(V30:X30)=0,0,SUM(V30:X30)/'Sch AL-TOU Cust Fcst'!G29)</f>
        <v>0</v>
      </c>
      <c r="Z30" s="33">
        <f>'Sch AL-TOU Cust Fcst'!$H29*'Non-Residential TSM UC Adj'!R30</f>
        <v>0</v>
      </c>
      <c r="AA30" s="33">
        <f>'Sch AL-TOU Cust Fcst'!$H29*'Non-Residential TSM UC Adj'!W30</f>
        <v>0</v>
      </c>
      <c r="AB30" s="33">
        <f>'Sch AL-TOU Cust Fcst'!$H29*'Non-Residential TSM UC Adj'!X30</f>
        <v>0</v>
      </c>
      <c r="AC30" s="41">
        <f>IF(SUM(Z30:AB30)=0,0,SUM(Z30:AB30)/'Sch AL-TOU Cust Fcst'!H29)</f>
        <v>0</v>
      </c>
      <c r="AD30" s="23">
        <f t="shared" si="3"/>
        <v>0</v>
      </c>
      <c r="AE30" s="23">
        <f t="shared" si="4"/>
        <v>0</v>
      </c>
      <c r="AF30" s="23">
        <f t="shared" si="5"/>
        <v>0</v>
      </c>
      <c r="AG30" s="41">
        <f>IF(SUM(AD30:AF30)=0,0,SUM(AD30:AF30)/'Sch AL-TOU Cust Fcst'!I29)</f>
        <v>0</v>
      </c>
    </row>
    <row r="31" spans="1:33" ht="13">
      <c r="A31" s="124" t="s">
        <v>23</v>
      </c>
      <c r="B31" s="109">
        <f>'Sch AL-TOU Cust Fcst'!$B30*'Non-Residential TSM UC Adj'!J31</f>
        <v>0</v>
      </c>
      <c r="C31" s="23">
        <f>'Sch AL-TOU Cust Fcst'!$B30*'Non-Residential TSM UC Adj'!K31</f>
        <v>0</v>
      </c>
      <c r="D31" s="23">
        <f>'Sch AL-TOU Cust Fcst'!$B30*'Non-Residential TSM UC Adj'!L31</f>
        <v>0</v>
      </c>
      <c r="E31" s="41">
        <f>IF(SUM(B31:D31)=0,0,SUM(B31:D31)/'Sch AL-TOU Cust Fcst'!B30)</f>
        <v>0</v>
      </c>
      <c r="F31" s="109">
        <f>'Sch AL-TOU Cust Fcst'!$C30*'Non-Residential TSM UC Adj'!J31</f>
        <v>0</v>
      </c>
      <c r="G31" s="23">
        <f>'Sch AL-TOU Cust Fcst'!$C30*'Non-Residential TSM UC Adj'!K31</f>
        <v>0</v>
      </c>
      <c r="H31" s="23">
        <f>'Sch AL-TOU Cust Fcst'!$C30*'Non-Residential TSM UC Adj'!L31</f>
        <v>0</v>
      </c>
      <c r="I31" s="41">
        <f>IF(SUM(F31:H31)=0,0,SUM(F31:H31)/'Sch AL-TOU Cust Fcst'!C30)</f>
        <v>0</v>
      </c>
      <c r="J31" s="109">
        <f>'Sch AL-TOU Cust Fcst'!$D30*'Non-Residential TSM UC Adj'!J31</f>
        <v>0</v>
      </c>
      <c r="K31" s="23">
        <f>'Sch AL-TOU Cust Fcst'!$D30*'Non-Residential TSM UC Adj'!K31</f>
        <v>0</v>
      </c>
      <c r="L31" s="23">
        <f>'Sch AL-TOU Cust Fcst'!$D30*'Non-Residential TSM UC Adj'!L31</f>
        <v>0</v>
      </c>
      <c r="M31" s="41">
        <f>IF(SUM(J31:L31)=0,0,SUM(J31:L31)/'Sch AL-TOU Cust Fcst'!D30)</f>
        <v>0</v>
      </c>
      <c r="N31" s="109">
        <f>'Sch AL-TOU Cust Fcst'!$E30*'Non-Residential TSM UC Adj'!N31</f>
        <v>0</v>
      </c>
      <c r="O31" s="23">
        <f>'Sch AL-TOU Cust Fcst'!$E30*'Non-Residential TSM UC Adj'!O31</f>
        <v>0</v>
      </c>
      <c r="P31" s="23">
        <f>'Sch AL-TOU Cust Fcst'!$E30*'Non-Residential TSM UC Adj'!P31</f>
        <v>0</v>
      </c>
      <c r="Q31" s="41">
        <f>IF(SUM(N31:P31)=0,0,SUM(N31:P31)/'Sch AL-TOU Cust Fcst'!E30)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IF(SUM(R31:T31)=0,0,SUM(R31:T31)/'Sch AL-TOU Cust Fcst'!F30)</f>
        <v>0</v>
      </c>
      <c r="V31" s="33">
        <f>'Sch AL-TOU Cust Fcst'!$G30*'Non-Residential TSM UC Adj'!R31</f>
        <v>0</v>
      </c>
      <c r="W31" s="33">
        <f>'Sch AL-TOU Cust Fcst'!$G30*'Non-Residential TSM UC Adj'!S31</f>
        <v>0</v>
      </c>
      <c r="X31" s="33">
        <f>'Sch AL-TOU Cust Fcst'!$G30*'Non-Residential TSM UC Adj'!T31</f>
        <v>0</v>
      </c>
      <c r="Y31" s="41">
        <f>IF(SUM(V31:X31)=0,0,SUM(V31:X31)/'Sch AL-TOU Cust Fcst'!G30)</f>
        <v>0</v>
      </c>
      <c r="Z31" s="33">
        <f>'Sch AL-TOU Cust Fcst'!$H30*'Non-Residential TSM UC Adj'!R31</f>
        <v>0</v>
      </c>
      <c r="AA31" s="33">
        <f>'Sch AL-TOU Cust Fcst'!$H30*'Non-Residential TSM UC Adj'!W31</f>
        <v>0</v>
      </c>
      <c r="AB31" s="33">
        <f>'Sch AL-TOU Cust Fcst'!$H30*'Non-Residential TSM UC Adj'!X31</f>
        <v>0</v>
      </c>
      <c r="AC31" s="41">
        <f>IF(SUM(Z31:AB31)=0,0,SUM(Z31:AB31)/'Sch AL-TOU Cust Fcst'!H30)</f>
        <v>0</v>
      </c>
      <c r="AD31" s="23">
        <f t="shared" si="3"/>
        <v>0</v>
      </c>
      <c r="AE31" s="23">
        <f t="shared" si="4"/>
        <v>0</v>
      </c>
      <c r="AF31" s="23">
        <f t="shared" si="5"/>
        <v>0</v>
      </c>
      <c r="AG31" s="41">
        <f>IF(SUM(AD31:AF31)=0,0,SUM(AD31:AF31)/'Sch AL-TOU Cust Fcst'!I30)</f>
        <v>0</v>
      </c>
    </row>
    <row r="32" spans="1:33" ht="13">
      <c r="A32" s="124" t="s">
        <v>24</v>
      </c>
      <c r="B32" s="109">
        <f>'Sch AL-TOU Cust Fcst'!$B31*'Non-Residential TSM UC Adj'!J32</f>
        <v>0</v>
      </c>
      <c r="C32" s="23">
        <f>'Sch AL-TOU Cust Fcst'!$B31*'Non-Residential TSM UC Adj'!K32</f>
        <v>0</v>
      </c>
      <c r="D32" s="23">
        <f>'Sch AL-TOU Cust Fcst'!$B31*'Non-Residential TSM UC Adj'!L32</f>
        <v>0</v>
      </c>
      <c r="E32" s="41">
        <f>IF(SUM(B32:D32)=0,0,SUM(B32:D32)/'Sch AL-TOU Cust Fcst'!B31)</f>
        <v>0</v>
      </c>
      <c r="F32" s="109">
        <f>'Sch AL-TOU Cust Fcst'!$C31*'Non-Residential TSM UC Adj'!J32</f>
        <v>0</v>
      </c>
      <c r="G32" s="23">
        <f>'Sch AL-TOU Cust Fcst'!$C31*'Non-Residential TSM UC Adj'!K32</f>
        <v>0</v>
      </c>
      <c r="H32" s="23">
        <f>'Sch AL-TOU Cust Fcst'!$C31*'Non-Residential TSM UC Adj'!L32</f>
        <v>0</v>
      </c>
      <c r="I32" s="41">
        <f>IF(SUM(F32:H32)=0,0,SUM(F32:H32)/'Sch AL-TOU Cust Fcst'!C31)</f>
        <v>0</v>
      </c>
      <c r="J32" s="109">
        <f>'Sch AL-TOU Cust Fcst'!$D31*'Non-Residential TSM UC Adj'!J32</f>
        <v>0</v>
      </c>
      <c r="K32" s="23">
        <f>'Sch AL-TOU Cust Fcst'!$D31*'Non-Residential TSM UC Adj'!K32</f>
        <v>0</v>
      </c>
      <c r="L32" s="23">
        <f>'Sch AL-TOU Cust Fcst'!$D31*'Non-Residential TSM UC Adj'!L32</f>
        <v>0</v>
      </c>
      <c r="M32" s="41">
        <f>IF(SUM(J32:L32)=0,0,SUM(J32:L32)/'Sch AL-TOU Cust Fcst'!D31)</f>
        <v>0</v>
      </c>
      <c r="N32" s="109">
        <f>'Sch AL-TOU Cust Fcst'!$E31*'Non-Residential TSM UC Adj'!N32</f>
        <v>0</v>
      </c>
      <c r="O32" s="23">
        <f>'Sch AL-TOU Cust Fcst'!$E31*'Non-Residential TSM UC Adj'!O32</f>
        <v>0</v>
      </c>
      <c r="P32" s="23">
        <f>'Sch AL-TOU Cust Fcst'!$E31*'Non-Residential TSM UC Adj'!P32</f>
        <v>0</v>
      </c>
      <c r="Q32" s="41">
        <f>IF(SUM(N32:P32)=0,0,SUM(N32:P32)/'Sch AL-TOU Cust Fcst'!E31)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IF(SUM(R32:T32)=0,0,SUM(R32:T32)/'Sch AL-TOU Cust Fcst'!F31)</f>
        <v>0</v>
      </c>
      <c r="V32" s="33">
        <f>'Sch AL-TOU Cust Fcst'!$G31*'Non-Residential TSM UC Adj'!R32</f>
        <v>0</v>
      </c>
      <c r="W32" s="33">
        <f>'Sch AL-TOU Cust Fcst'!$G31*'Non-Residential TSM UC Adj'!S32</f>
        <v>0</v>
      </c>
      <c r="X32" s="33">
        <f>'Sch AL-TOU Cust Fcst'!$G31*'Non-Residential TSM UC Adj'!T32</f>
        <v>0</v>
      </c>
      <c r="Y32" s="41">
        <f>IF(SUM(V32:X32)=0,0,SUM(V32:X32)/'Sch AL-TOU Cust Fcst'!G31)</f>
        <v>0</v>
      </c>
      <c r="Z32" s="33">
        <f>'Sch AL-TOU Cust Fcst'!$H31*'Non-Residential TSM UC Adj'!R32</f>
        <v>0</v>
      </c>
      <c r="AA32" s="33">
        <f>'Sch AL-TOU Cust Fcst'!$H31*'Non-Residential TSM UC Adj'!W32</f>
        <v>0</v>
      </c>
      <c r="AB32" s="33">
        <f>'Sch AL-TOU Cust Fcst'!$H31*'Non-Residential TSM UC Adj'!X32</f>
        <v>0</v>
      </c>
      <c r="AC32" s="41">
        <f>IF(SUM(Z32:AB32)=0,0,SUM(Z32:AB32)/'Sch AL-TOU Cust Fcst'!H31)</f>
        <v>0</v>
      </c>
      <c r="AD32" s="23">
        <f t="shared" si="3"/>
        <v>0</v>
      </c>
      <c r="AE32" s="23">
        <f t="shared" si="4"/>
        <v>0</v>
      </c>
      <c r="AF32" s="23">
        <f t="shared" si="5"/>
        <v>0</v>
      </c>
      <c r="AG32" s="41">
        <f>IF(SUM(AD32:AF32)=0,0,SUM(AD32:AF32)/'Sch AL-TOU Cust Fcst'!I31)</f>
        <v>0</v>
      </c>
    </row>
    <row r="33" spans="1:33" ht="13">
      <c r="A33" s="124" t="s">
        <v>25</v>
      </c>
      <c r="B33" s="109">
        <f>'Sch AL-TOU Cust Fcst'!$B32*'Non-Residential TSM UC Adj'!J33</f>
        <v>0</v>
      </c>
      <c r="C33" s="23">
        <f>'Sch AL-TOU Cust Fcst'!$B32*'Non-Residential TSM UC Adj'!K33</f>
        <v>0</v>
      </c>
      <c r="D33" s="23">
        <f>'Sch AL-TOU Cust Fcst'!$B32*'Non-Residential TSM UC Adj'!L33</f>
        <v>0</v>
      </c>
      <c r="E33" s="41">
        <f>IF(SUM(B33:D33)=0,0,SUM(B33:D33)/'Sch AL-TOU Cust Fcst'!B32)</f>
        <v>0</v>
      </c>
      <c r="F33" s="109">
        <f>'Sch AL-TOU Cust Fcst'!$C32*'Non-Residential TSM UC Adj'!J33</f>
        <v>0</v>
      </c>
      <c r="G33" s="23">
        <f>'Sch AL-TOU Cust Fcst'!$C32*'Non-Residential TSM UC Adj'!K33</f>
        <v>0</v>
      </c>
      <c r="H33" s="23">
        <f>'Sch AL-TOU Cust Fcst'!$C32*'Non-Residential TSM UC Adj'!L33</f>
        <v>0</v>
      </c>
      <c r="I33" s="41">
        <f>IF(SUM(F33:H33)=0,0,SUM(F33:H33)/'Sch AL-TOU Cust Fcst'!C32)</f>
        <v>0</v>
      </c>
      <c r="J33" s="109">
        <f>'Sch AL-TOU Cust Fcst'!$D32*'Non-Residential TSM UC Adj'!J33</f>
        <v>0</v>
      </c>
      <c r="K33" s="23">
        <f>'Sch AL-TOU Cust Fcst'!$D32*'Non-Residential TSM UC Adj'!K33</f>
        <v>0</v>
      </c>
      <c r="L33" s="23">
        <f>'Sch AL-TOU Cust Fcst'!$D32*'Non-Residential TSM UC Adj'!L33</f>
        <v>0</v>
      </c>
      <c r="M33" s="41">
        <f>IF(SUM(J33:L33)=0,0,SUM(J33:L33)/'Sch AL-TOU Cust Fcst'!D32)</f>
        <v>0</v>
      </c>
      <c r="N33" s="109">
        <f>'Sch AL-TOU Cust Fcst'!$E32*'Non-Residential TSM UC Adj'!N33</f>
        <v>0</v>
      </c>
      <c r="O33" s="23">
        <f>'Sch AL-TOU Cust Fcst'!$E32*'Non-Residential TSM UC Adj'!O33</f>
        <v>0</v>
      </c>
      <c r="P33" s="23">
        <f>'Sch AL-TOU Cust Fcst'!$E32*'Non-Residential TSM UC Adj'!P33</f>
        <v>0</v>
      </c>
      <c r="Q33" s="41">
        <f>IF(SUM(N33:P33)=0,0,SUM(N33:P33)/'Sch AL-TOU Cust Fcst'!E32)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IF(SUM(R33:T33)=0,0,SUM(R33:T33)/'Sch AL-TOU Cust Fcst'!F32)</f>
        <v>0</v>
      </c>
      <c r="V33" s="33">
        <f>'Sch AL-TOU Cust Fcst'!$G32*'Non-Residential TSM UC Adj'!R33</f>
        <v>0</v>
      </c>
      <c r="W33" s="33">
        <f>'Sch AL-TOU Cust Fcst'!$G32*'Non-Residential TSM UC Adj'!S33</f>
        <v>0</v>
      </c>
      <c r="X33" s="33">
        <f>'Sch AL-TOU Cust Fcst'!$G32*'Non-Residential TSM UC Adj'!T33</f>
        <v>0</v>
      </c>
      <c r="Y33" s="41">
        <f>IF(SUM(V33:X33)=0,0,SUM(V33:X33)/'Sch AL-TOU Cust Fcst'!G32)</f>
        <v>0</v>
      </c>
      <c r="Z33" s="33">
        <f>'Sch AL-TOU Cust Fcst'!$H32*'Non-Residential TSM UC Adj'!R33</f>
        <v>0</v>
      </c>
      <c r="AA33" s="33">
        <f>'Sch AL-TOU Cust Fcst'!$H32*'Non-Residential TSM UC Adj'!W33</f>
        <v>0</v>
      </c>
      <c r="AB33" s="33">
        <f>'Sch AL-TOU Cust Fcst'!$H32*'Non-Residential TSM UC Adj'!X33</f>
        <v>0</v>
      </c>
      <c r="AC33" s="41">
        <f>IF(SUM(Z33:AB33)=0,0,SUM(Z33:AB33)/'Sch AL-TOU Cust Fcst'!H32)</f>
        <v>0</v>
      </c>
      <c r="AD33" s="23">
        <f t="shared" si="3"/>
        <v>0</v>
      </c>
      <c r="AE33" s="23">
        <f t="shared" si="4"/>
        <v>0</v>
      </c>
      <c r="AF33" s="23">
        <f t="shared" si="5"/>
        <v>0</v>
      </c>
      <c r="AG33" s="41">
        <f>IF(SUM(AD33:AF33)=0,0,SUM(AD33:AF33)/'Sch AL-TOU Cust Fcst'!I32)</f>
        <v>0</v>
      </c>
    </row>
    <row r="34" spans="1:33" ht="13">
      <c r="A34" s="124" t="s">
        <v>106</v>
      </c>
      <c r="B34" s="109">
        <f>'Sch AL-TOU Cust Fcst'!$B33*'Non-Residential TSM UC Adj'!J34</f>
        <v>0</v>
      </c>
      <c r="C34" s="23">
        <f>'Sch AL-TOU Cust Fcst'!$B33*'Non-Residential TSM UC Adj'!K34</f>
        <v>0</v>
      </c>
      <c r="D34" s="23">
        <f>'Sch AL-TOU Cust Fcst'!$B33*'Non-Residential TSM UC Adj'!L34</f>
        <v>0</v>
      </c>
      <c r="E34" s="41">
        <f>IF(SUM(B34:D34)=0,0,SUM(B34:D34)/'Sch AL-TOU Cust Fcst'!B33)</f>
        <v>0</v>
      </c>
      <c r="F34" s="109">
        <f>'Sch AL-TOU Cust Fcst'!$C33*'Non-Residential TSM UC Adj'!J34</f>
        <v>0</v>
      </c>
      <c r="G34" s="23">
        <f>'Sch AL-TOU Cust Fcst'!$C33*'Non-Residential TSM UC Adj'!K34</f>
        <v>0</v>
      </c>
      <c r="H34" s="23">
        <f>'Sch AL-TOU Cust Fcst'!$C33*'Non-Residential TSM UC Adj'!L34</f>
        <v>0</v>
      </c>
      <c r="I34" s="41">
        <f>IF(SUM(F34:H34)=0,0,SUM(F34:H34)/'Sch AL-TOU Cust Fcst'!C33)</f>
        <v>0</v>
      </c>
      <c r="J34" s="109">
        <f>'Sch AL-TOU Cust Fcst'!$D33*'Non-Residential TSM UC Adj'!J34</f>
        <v>0</v>
      </c>
      <c r="K34" s="23">
        <f>'Sch AL-TOU Cust Fcst'!$D33*'Non-Residential TSM UC Adj'!K34</f>
        <v>0</v>
      </c>
      <c r="L34" s="23">
        <f>'Sch AL-TOU Cust Fcst'!$D33*'Non-Residential TSM UC Adj'!L34</f>
        <v>0</v>
      </c>
      <c r="M34" s="41">
        <f>IF(SUM(J34:L34)=0,0,SUM(J34:L34)/'Sch AL-TOU Cust Fcst'!D33)</f>
        <v>0</v>
      </c>
      <c r="N34" s="109">
        <f>'Sch AL-TOU Cust Fcst'!$E33*'Non-Residential TSM UC Adj'!N34</f>
        <v>0</v>
      </c>
      <c r="O34" s="23">
        <f>'Sch AL-TOU Cust Fcst'!$E33*'Non-Residential TSM UC Adj'!O34</f>
        <v>0</v>
      </c>
      <c r="P34" s="23">
        <f>'Sch AL-TOU Cust Fcst'!$E33*'Non-Residential TSM UC Adj'!P34</f>
        <v>0</v>
      </c>
      <c r="Q34" s="41">
        <f>IF(SUM(N34:P34)=0,0,SUM(N34:P34)/'Sch AL-TOU Cust Fcst'!E33)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IF(SUM(R34:T34)=0,0,SUM(R34:T34)/'Sch AL-TOU Cust Fcst'!F33)</f>
        <v>0</v>
      </c>
      <c r="V34" s="33">
        <f>'Sch AL-TOU Cust Fcst'!$G33*'Non-Residential TSM UC Adj'!R34</f>
        <v>0</v>
      </c>
      <c r="W34" s="33">
        <f>'Sch AL-TOU Cust Fcst'!$G33*'Non-Residential TSM UC Adj'!S34</f>
        <v>0</v>
      </c>
      <c r="X34" s="33">
        <f>'Sch AL-TOU Cust Fcst'!$G33*'Non-Residential TSM UC Adj'!T34</f>
        <v>0</v>
      </c>
      <c r="Y34" s="41">
        <f>IF(SUM(V34:X34)=0,0,SUM(V34:X34)/'Sch AL-TOU Cust Fcst'!G33)</f>
        <v>0</v>
      </c>
      <c r="Z34" s="33">
        <f>'Sch AL-TOU Cust Fcst'!$H33*'Non-Residential TSM UC Adj'!R34</f>
        <v>0</v>
      </c>
      <c r="AA34" s="33">
        <f>'Sch AL-TOU Cust Fcst'!$H33*'Non-Residential TSM UC Adj'!W34</f>
        <v>0</v>
      </c>
      <c r="AB34" s="33">
        <f>'Sch AL-TOU Cust Fcst'!$H33*'Non-Residential TSM UC Adj'!X34</f>
        <v>0</v>
      </c>
      <c r="AC34" s="41">
        <f>IF(SUM(Z34:AB34)=0,0,SUM(Z34:AB34)/'Sch AL-TOU Cust Fcst'!H33)</f>
        <v>0</v>
      </c>
      <c r="AD34" s="23">
        <f t="shared" si="3"/>
        <v>0</v>
      </c>
      <c r="AE34" s="23">
        <f t="shared" si="4"/>
        <v>0</v>
      </c>
      <c r="AF34" s="23">
        <f t="shared" si="5"/>
        <v>0</v>
      </c>
      <c r="AG34" s="41">
        <f>IF(SUM(AD34:AF34)=0,0,SUM(AD34:AF34)/'Sch AL-TOU Cust Fcst'!I33)</f>
        <v>0</v>
      </c>
    </row>
    <row r="35" spans="1:33" ht="13">
      <c r="A35" s="124" t="s">
        <v>107</v>
      </c>
      <c r="B35" s="109">
        <f>'Sch AL-TOU Cust Fcst'!$B34*'Non-Residential TSM UC Adj'!J35</f>
        <v>0</v>
      </c>
      <c r="C35" s="23">
        <f>'Sch AL-TOU Cust Fcst'!$B34*'Non-Residential TSM UC Adj'!K35</f>
        <v>0</v>
      </c>
      <c r="D35" s="23">
        <f>'Sch AL-TOU Cust Fcst'!$B34*'Non-Residential TSM UC Adj'!L35</f>
        <v>0</v>
      </c>
      <c r="E35" s="41">
        <f>IF(SUM(B35:D35)=0,0,SUM(B35:D35)/'Sch AL-TOU Cust Fcst'!B34)</f>
        <v>0</v>
      </c>
      <c r="F35" s="109">
        <f>'Sch AL-TOU Cust Fcst'!$C34*'Non-Residential TSM UC Adj'!J35</f>
        <v>0</v>
      </c>
      <c r="G35" s="23">
        <f>'Sch AL-TOU Cust Fcst'!$C34*'Non-Residential TSM UC Adj'!K35</f>
        <v>0</v>
      </c>
      <c r="H35" s="23">
        <f>'Sch AL-TOU Cust Fcst'!$C34*'Non-Residential TSM UC Adj'!L35</f>
        <v>0</v>
      </c>
      <c r="I35" s="41">
        <f>IF(SUM(F35:H35)=0,0,SUM(F35:H35)/'Sch AL-TOU Cust Fcst'!C34)</f>
        <v>0</v>
      </c>
      <c r="J35" s="109">
        <f>'Sch AL-TOU Cust Fcst'!$D34*'Non-Residential TSM UC Adj'!J35</f>
        <v>0</v>
      </c>
      <c r="K35" s="23">
        <f>'Sch AL-TOU Cust Fcst'!$D34*'Non-Residential TSM UC Adj'!K35</f>
        <v>0</v>
      </c>
      <c r="L35" s="23">
        <f>'Sch AL-TOU Cust Fcst'!$D34*'Non-Residential TSM UC Adj'!L35</f>
        <v>0</v>
      </c>
      <c r="M35" s="41">
        <f>IF(SUM(J35:L35)=0,0,SUM(J35:L35)/'Sch AL-TOU Cust Fcst'!D34)</f>
        <v>0</v>
      </c>
      <c r="N35" s="109">
        <f>'Sch AL-TOU Cust Fcst'!$E34*'Non-Residential TSM UC Adj'!N35</f>
        <v>0</v>
      </c>
      <c r="O35" s="23">
        <f>'Sch AL-TOU Cust Fcst'!$E34*'Non-Residential TSM UC Adj'!O35</f>
        <v>0</v>
      </c>
      <c r="P35" s="23">
        <f>'Sch AL-TOU Cust Fcst'!$E34*'Non-Residential TSM UC Adj'!P35</f>
        <v>0</v>
      </c>
      <c r="Q35" s="41">
        <f>IF(SUM(N35:P35)=0,0,SUM(N35:P35)/'Sch AL-TOU Cust Fcst'!E34)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IF(SUM(R35:T35)=0,0,SUM(R35:T35)/'Sch AL-TOU Cust Fcst'!F34)</f>
        <v>0</v>
      </c>
      <c r="V35" s="33">
        <f>'Sch AL-TOU Cust Fcst'!$G34*'Non-Residential TSM UC Adj'!R35</f>
        <v>0</v>
      </c>
      <c r="W35" s="33">
        <f>'Sch AL-TOU Cust Fcst'!$G34*'Non-Residential TSM UC Adj'!S35</f>
        <v>0</v>
      </c>
      <c r="X35" s="33">
        <f>'Sch AL-TOU Cust Fcst'!$G34*'Non-Residential TSM UC Adj'!T35</f>
        <v>0</v>
      </c>
      <c r="Y35" s="41">
        <f>IF(SUM(V35:X35)=0,0,SUM(V35:X35)/'Sch AL-TOU Cust Fcst'!G34)</f>
        <v>0</v>
      </c>
      <c r="Z35" s="33">
        <f>'Sch AL-TOU Cust Fcst'!$H34*'Non-Residential TSM UC Adj'!R35</f>
        <v>0</v>
      </c>
      <c r="AA35" s="33">
        <f>'Sch AL-TOU Cust Fcst'!$H34*'Non-Residential TSM UC Adj'!W35</f>
        <v>0</v>
      </c>
      <c r="AB35" s="33">
        <f>'Sch AL-TOU Cust Fcst'!$H34*'Non-Residential TSM UC Adj'!X35</f>
        <v>0</v>
      </c>
      <c r="AC35" s="41">
        <f>IF(SUM(Z35:AB35)=0,0,SUM(Z35:AB35)/'Sch AL-TOU Cust Fcst'!H34)</f>
        <v>0</v>
      </c>
      <c r="AD35" s="23">
        <f t="shared" si="3"/>
        <v>0</v>
      </c>
      <c r="AE35" s="23">
        <f t="shared" si="4"/>
        <v>0</v>
      </c>
      <c r="AF35" s="23">
        <f t="shared" si="5"/>
        <v>0</v>
      </c>
      <c r="AG35" s="41">
        <f>IF(SUM(AD35:AF35)=0,0,SUM(AD35:AF35)/'Sch AL-TOU Cust Fcst'!I34)</f>
        <v>0</v>
      </c>
    </row>
    <row r="36" spans="1:33" ht="13">
      <c r="A36" s="126" t="s">
        <v>26</v>
      </c>
      <c r="B36" s="109">
        <f>'Sch AL-TOU Cust Fcst'!$B35*'Non-Residential TSM UC Adj'!J36</f>
        <v>0</v>
      </c>
      <c r="C36" s="23">
        <f>'Sch AL-TOU Cust Fcst'!$B35*'Non-Residential TSM UC Adj'!K36</f>
        <v>0</v>
      </c>
      <c r="D36" s="23">
        <f>'Sch AL-TOU Cust Fcst'!$B35*'Non-Residential TSM UC Adj'!L36</f>
        <v>0</v>
      </c>
      <c r="E36" s="41">
        <f>IF(SUM(B36:D36)=0,0,SUM(B36:D36)/'Sch AL-TOU Cust Fcst'!B35)</f>
        <v>0</v>
      </c>
      <c r="F36" s="109">
        <f>'Sch AL-TOU Cust Fcst'!$C35*'Non-Residential TSM UC Adj'!J36</f>
        <v>0</v>
      </c>
      <c r="G36" s="23">
        <f>'Sch AL-TOU Cust Fcst'!$C35*'Non-Residential TSM UC Adj'!K36</f>
        <v>0</v>
      </c>
      <c r="H36" s="23">
        <f>'Sch AL-TOU Cust Fcst'!$C35*'Non-Residential TSM UC Adj'!L36</f>
        <v>0</v>
      </c>
      <c r="I36" s="41">
        <f>IF(SUM(F36:H36)=0,0,SUM(F36:H36)/'Sch AL-TOU Cust Fcst'!C35)</f>
        <v>0</v>
      </c>
      <c r="J36" s="109">
        <f>'Sch AL-TOU Cust Fcst'!$D35*'Non-Residential TSM UC Adj'!J36</f>
        <v>0</v>
      </c>
      <c r="K36" s="23">
        <f>'Sch AL-TOU Cust Fcst'!$D35*'Non-Residential TSM UC Adj'!K36</f>
        <v>0</v>
      </c>
      <c r="L36" s="23">
        <f>'Sch AL-TOU Cust Fcst'!$D35*'Non-Residential TSM UC Adj'!L36</f>
        <v>0</v>
      </c>
      <c r="M36" s="41">
        <f>IF(SUM(J36:L36)=0,0,SUM(J36:L36)/'Sch AL-TOU Cust Fcst'!D35)</f>
        <v>0</v>
      </c>
      <c r="N36" s="109">
        <f>'Sch AL-TOU Cust Fcst'!$E35*'Non-Residential TSM UC Adj'!N36</f>
        <v>0</v>
      </c>
      <c r="O36" s="23">
        <f>'Sch AL-TOU Cust Fcst'!$E35*'Non-Residential TSM UC Adj'!O36</f>
        <v>0</v>
      </c>
      <c r="P36" s="23">
        <f>'Sch AL-TOU Cust Fcst'!$E35*'Non-Residential TSM UC Adj'!P36</f>
        <v>0</v>
      </c>
      <c r="Q36" s="41">
        <f>IF(SUM(N36:P36)=0,0,SUM(N36:P36)/'Sch AL-TOU Cust Fcst'!E35)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IF(SUM(R36:T36)=0,0,SUM(R36:T36)/'Sch AL-TOU Cust Fcst'!F35)</f>
        <v>0</v>
      </c>
      <c r="V36" s="33">
        <f>'Sch AL-TOU Cust Fcst'!$G35*'Non-Residential TSM UC Adj'!R36</f>
        <v>0</v>
      </c>
      <c r="W36" s="33">
        <f>'Sch AL-TOU Cust Fcst'!$G35*'Non-Residential TSM UC Adj'!S36</f>
        <v>0</v>
      </c>
      <c r="X36" s="33">
        <f>'Sch AL-TOU Cust Fcst'!$G35*'Non-Residential TSM UC Adj'!T36</f>
        <v>0</v>
      </c>
      <c r="Y36" s="41">
        <f>IF(SUM(V36:X36)=0,0,SUM(V36:X36)/'Sch AL-TOU Cust Fcst'!G35)</f>
        <v>0</v>
      </c>
      <c r="Z36" s="33">
        <f>'Sch AL-TOU Cust Fcst'!$H35*'Non-Residential TSM UC Adj'!R36</f>
        <v>0</v>
      </c>
      <c r="AA36" s="33">
        <f>'Sch AL-TOU Cust Fcst'!$H35*'Non-Residential TSM UC Adj'!W36</f>
        <v>0</v>
      </c>
      <c r="AB36" s="33">
        <f>'Sch AL-TOU Cust Fcst'!$H35*'Non-Residential TSM UC Adj'!X36</f>
        <v>0</v>
      </c>
      <c r="AC36" s="41">
        <f>IF(SUM(Z36:AB36)=0,0,SUM(Z36:AB36)/'Sch AL-TOU Cust Fcst'!H35)</f>
        <v>0</v>
      </c>
      <c r="AD36" s="23">
        <f t="shared" si="3"/>
        <v>0</v>
      </c>
      <c r="AE36" s="23">
        <f t="shared" si="4"/>
        <v>0</v>
      </c>
      <c r="AF36" s="23">
        <f t="shared" si="5"/>
        <v>0</v>
      </c>
      <c r="AG36" s="41">
        <f>IF(SUM(AD36:AF36)=0,0,SUM(AD36:AF36)/'Sch AL-TOU Cust Fcst'!I35)</f>
        <v>0</v>
      </c>
    </row>
    <row r="37" spans="1:33" ht="13">
      <c r="A37" s="126" t="s">
        <v>27</v>
      </c>
      <c r="B37" s="109">
        <f>'Sch AL-TOU Cust Fcst'!$B36*'Non-Residential TSM UC Adj'!J37</f>
        <v>0</v>
      </c>
      <c r="C37" s="23">
        <f>'Sch AL-TOU Cust Fcst'!$B36*'Non-Residential TSM UC Adj'!K37</f>
        <v>0</v>
      </c>
      <c r="D37" s="23">
        <f>'Sch AL-TOU Cust Fcst'!$B36*'Non-Residential TSM UC Adj'!L37</f>
        <v>0</v>
      </c>
      <c r="E37" s="41">
        <f>IF(SUM(B37:D37)=0,0,SUM(B37:D37)/'Sch AL-TOU Cust Fcst'!B36)</f>
        <v>0</v>
      </c>
      <c r="F37" s="109">
        <f>'Sch AL-TOU Cust Fcst'!$C36*'Non-Residential TSM UC Adj'!J37</f>
        <v>0</v>
      </c>
      <c r="G37" s="23">
        <f>'Sch AL-TOU Cust Fcst'!$C36*'Non-Residential TSM UC Adj'!K37</f>
        <v>0</v>
      </c>
      <c r="H37" s="23">
        <f>'Sch AL-TOU Cust Fcst'!$C36*'Non-Residential TSM UC Adj'!L37</f>
        <v>0</v>
      </c>
      <c r="I37" s="41">
        <f>IF(SUM(F37:H37)=0,0,SUM(F37:H37)/'Sch AL-TOU Cust Fcst'!C36)</f>
        <v>0</v>
      </c>
      <c r="J37" s="109">
        <f>'Sch AL-TOU Cust Fcst'!$D36*'Non-Residential TSM UC Adj'!J37</f>
        <v>0</v>
      </c>
      <c r="K37" s="23">
        <f>'Sch AL-TOU Cust Fcst'!$D36*'Non-Residential TSM UC Adj'!K37</f>
        <v>0</v>
      </c>
      <c r="L37" s="23">
        <f>'Sch AL-TOU Cust Fcst'!$D36*'Non-Residential TSM UC Adj'!L37</f>
        <v>0</v>
      </c>
      <c r="M37" s="41">
        <f>IF(SUM(J37:L37)=0,0,SUM(J37:L37)/'Sch AL-TOU Cust Fcst'!D36)</f>
        <v>0</v>
      </c>
      <c r="N37" s="109">
        <f>'Sch AL-TOU Cust Fcst'!$E36*'Non-Residential TSM UC Adj'!N37</f>
        <v>0</v>
      </c>
      <c r="O37" s="23">
        <f>'Sch AL-TOU Cust Fcst'!$E36*'Non-Residential TSM UC Adj'!O37</f>
        <v>0</v>
      </c>
      <c r="P37" s="23">
        <f>'Sch AL-TOU Cust Fcst'!$E36*'Non-Residential TSM UC Adj'!P37</f>
        <v>0</v>
      </c>
      <c r="Q37" s="41">
        <f>IF(SUM(N37:P37)=0,0,SUM(N37:P37)/'Sch AL-TOU Cust Fcst'!E36)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IF(SUM(R37:T37)=0,0,SUM(R37:T37)/'Sch AL-TOU Cust Fcst'!F36)</f>
        <v>0</v>
      </c>
      <c r="V37" s="33">
        <f>'Sch AL-TOU Cust Fcst'!$G36*'Non-Residential TSM UC Adj'!R37</f>
        <v>0</v>
      </c>
      <c r="W37" s="33">
        <f>'Sch AL-TOU Cust Fcst'!$G36*'Non-Residential TSM UC Adj'!S37</f>
        <v>0</v>
      </c>
      <c r="X37" s="33">
        <f>'Sch AL-TOU Cust Fcst'!$G36*'Non-Residential TSM UC Adj'!T37</f>
        <v>0</v>
      </c>
      <c r="Y37" s="41">
        <f>IF(SUM(V37:X37)=0,0,SUM(V37:X37)/'Sch AL-TOU Cust Fcst'!G36)</f>
        <v>0</v>
      </c>
      <c r="Z37" s="33">
        <f>'Sch AL-TOU Cust Fcst'!$H36*'Non-Residential TSM UC Adj'!R37</f>
        <v>0</v>
      </c>
      <c r="AA37" s="33">
        <f>'Sch AL-TOU Cust Fcst'!$H36*'Non-Residential TSM UC Adj'!W37</f>
        <v>0</v>
      </c>
      <c r="AB37" s="33">
        <f>'Sch AL-TOU Cust Fcst'!$H36*'Non-Residential TSM UC Adj'!X37</f>
        <v>0</v>
      </c>
      <c r="AC37" s="41">
        <f>IF(SUM(Z37:AB37)=0,0,SUM(Z37:AB37)/'Sch AL-TOU Cust Fcst'!H36)</f>
        <v>0</v>
      </c>
      <c r="AD37" s="23">
        <f t="shared" si="3"/>
        <v>0</v>
      </c>
      <c r="AE37" s="23">
        <f t="shared" si="4"/>
        <v>0</v>
      </c>
      <c r="AF37" s="23">
        <f t="shared" si="5"/>
        <v>0</v>
      </c>
      <c r="AG37" s="41">
        <f>IF(SUM(AD37:AF37)=0,0,SUM(AD37:AF37)/'Sch AL-TOU Cust Fcst'!I36)</f>
        <v>0</v>
      </c>
    </row>
    <row r="38" spans="1:33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107"/>
      <c r="AA38" s="13"/>
      <c r="AB38" s="13"/>
      <c r="AC38" s="14"/>
      <c r="AD38" s="23"/>
      <c r="AE38" s="23"/>
      <c r="AF38" s="23"/>
      <c r="AG38" s="14"/>
    </row>
    <row r="39" spans="1:33" ht="13.5" thickBot="1">
      <c r="A39" s="178" t="s">
        <v>2</v>
      </c>
      <c r="B39" s="238">
        <f>IF(SUM(B$7:B$37)=0,0,SUM(B$7:B$37)/'Sch AL-TOU Cust Fcst'!$B38)</f>
        <v>3859.41952937215</v>
      </c>
      <c r="C39" s="239">
        <f>IF(SUM(C$7:C$37)=0,0,SUM(C$7:C$37)/'Sch AL-TOU Cust Fcst'!$B38)</f>
        <v>480.04976601313922</v>
      </c>
      <c r="D39" s="239">
        <f>IF(SUM(D$7:D$37)=0,0,SUM(D$7:D$37)/'Sch AL-TOU Cust Fcst'!$B38)</f>
        <v>234.29973156037588</v>
      </c>
      <c r="E39" s="240">
        <f>SUM(B39:D39)</f>
        <v>4573.7690269456652</v>
      </c>
      <c r="F39" s="238">
        <f>IF(SUM(F$7:F$37)=0,0,SUM(F$7:F$37)/'Sch AL-TOU Cust Fcst'!$C38)</f>
        <v>10866.362927742215</v>
      </c>
      <c r="G39" s="239">
        <f>IF(SUM(G$7:G$37)=0,0,SUM(G$7:G$37)/'Sch AL-TOU Cust Fcst'!$C38)</f>
        <v>1313.0786590173946</v>
      </c>
      <c r="H39" s="239">
        <f>IF(SUM(H$7:H$37)=0,0,SUM(H$7:H$37)/'Sch AL-TOU Cust Fcst'!$C38)</f>
        <v>372.25254287656088</v>
      </c>
      <c r="I39" s="240">
        <f>SUM(F39:H39)</f>
        <v>12551.694129636169</v>
      </c>
      <c r="J39" s="238">
        <f>IF(SUM(J$7:J$37)=0,0,SUM(J$7:J$37)/'Sch AL-TOU Cust Fcst'!$D38)</f>
        <v>12761.739401359873</v>
      </c>
      <c r="K39" s="239">
        <f>IF(SUM(K$7:K$37)=0,0,SUM(K$7:K$37)/'Sch AL-TOU Cust Fcst'!$D38)</f>
        <v>2769.2072558812833</v>
      </c>
      <c r="L39" s="239">
        <f>IF(SUM(L$7:L$37)=0,0,SUM(L$7:L$37)/'Sch AL-TOU Cust Fcst'!$D38)</f>
        <v>633.01271232960767</v>
      </c>
      <c r="M39" s="240">
        <f>SUM(J39:L39)</f>
        <v>16163.959369570764</v>
      </c>
      <c r="N39" s="238">
        <f>IF(SUM(N$7:N$37)=0,0,SUM(N$7:N$37)/'Sch AL-TOU Cust Fcst'!$E38)</f>
        <v>13929.867295056874</v>
      </c>
      <c r="O39" s="239">
        <f>IF(SUM(O$7:O$37)=0,0,SUM(O$7:O$37)/'Sch AL-TOU Cust Fcst'!$E38)</f>
        <v>2720.942229675672</v>
      </c>
      <c r="P39" s="239">
        <f>IF(SUM(P$7:P$37)=0,0,SUM(P$7:P$37)/'Sch AL-TOU Cust Fcst'!$E38)</f>
        <v>794.70728906952115</v>
      </c>
      <c r="Q39" s="240">
        <f>SUM(N39:P39)</f>
        <v>17445.516813802067</v>
      </c>
      <c r="R39" s="238">
        <f>IF(SUM(R$7:R$37)=0,0,SUM(R$7:R$37)/'Sch AL-TOU Cust Fcst'!$F38)</f>
        <v>12431.456796247723</v>
      </c>
      <c r="S39" s="239">
        <f>IF(SUM(S$7:S$37)=0,0,SUM(S$7:S$37)/'Sch AL-TOU Cust Fcst'!$F38)</f>
        <v>2537.511718448819</v>
      </c>
      <c r="T39" s="239">
        <f>IF(SUM(T$7:T$37)=0,0,SUM(T$7:T$37)/'Sch AL-TOU Cust Fcst'!$F38)</f>
        <v>654.71631817573416</v>
      </c>
      <c r="U39" s="240">
        <f>SUM(R39:T39)</f>
        <v>15623.684832872277</v>
      </c>
      <c r="V39" s="238">
        <f>IF(SUM(V$7:V$37)=0,0,SUM(V$7:V$37)/'Sch AL-TOU Cust Fcst'!$G38)</f>
        <v>0</v>
      </c>
      <c r="W39" s="239">
        <f>IF(SUM(W$7:W$37)=0,0,SUM(W$7:W$37)/'Sch AL-TOU Cust Fcst'!$G38)</f>
        <v>3129.9273129422199</v>
      </c>
      <c r="X39" s="239">
        <f>IF(SUM(X$7:X$37)=0,0,SUM(X$7:X$37)/'Sch AL-TOU Cust Fcst'!$G38)</f>
        <v>961.01191914852984</v>
      </c>
      <c r="Y39" s="240">
        <f>SUM(V39:X39)</f>
        <v>4090.93923209075</v>
      </c>
      <c r="Z39" s="238">
        <f>IF(SUM(Z$7:Z$37)=0,0,SUM(Z$7:Z$37)/'Sch AL-TOU Cust Fcst'!$H38)</f>
        <v>0</v>
      </c>
      <c r="AA39" s="239">
        <f>IF(SUM(AA$7:AA$37)=0,0,SUM(AA$7:AA$37)/'Sch AL-TOU Cust Fcst'!$H38)</f>
        <v>0</v>
      </c>
      <c r="AB39" s="239">
        <f>IF(SUM(AB$7:AB$37)=0,0,SUM(AB$7:AB$37)/'Sch AL-TOU Cust Fcst'!$H38)</f>
        <v>0</v>
      </c>
      <c r="AC39" s="240">
        <f>SUM(Z39:AB39)</f>
        <v>0</v>
      </c>
      <c r="AD39" s="238">
        <f>IF(SUM(AD$7:AD$37)=0,0,SUM(AD$7:AD$37)/'Sch AL-TOU Cust Fcst'!$I38)</f>
        <v>11772.54565863742</v>
      </c>
      <c r="AE39" s="239">
        <f>IF(SUM(AE$7:AE$37)=0,0,SUM(AE$7:AE$37)/'Sch AL-TOU Cust Fcst'!$I38)</f>
        <v>2568.9118382982929</v>
      </c>
      <c r="AF39" s="239">
        <f>IF(SUM(AF$7:AF$37)=0,0,SUM(AF$7:AF$37)/'Sch AL-TOU Cust Fcst'!$I38)</f>
        <v>670.95106734390345</v>
      </c>
      <c r="AG39" s="240">
        <f>SUM(AD39:AF39)</f>
        <v>15012.408564279616</v>
      </c>
    </row>
    <row r="40" spans="1:33" ht="13">
      <c r="A40" s="21" t="s">
        <v>141</v>
      </c>
      <c r="B40" s="109">
        <f>IF(SUM(B$7:B$20)=0,0,SUM(B$7:B$20)/'Sch AL-TOU Cust Fcst'!$B39)</f>
        <v>3859.41952937215</v>
      </c>
      <c r="C40" s="23">
        <f>IF(SUM(C$7:C$20)=0,0,SUM(C$7:C$20)/'Sch AL-TOU Cust Fcst'!$B39)</f>
        <v>480.04976601313922</v>
      </c>
      <c r="D40" s="23">
        <f>IF(SUM(D$7:D$20)=0,0,SUM(D$7:D$20)/'Sch AL-TOU Cust Fcst'!$B39)</f>
        <v>234.29973156037588</v>
      </c>
      <c r="E40" s="41">
        <f>SUM(B40:D40)</f>
        <v>4573.7690269456652</v>
      </c>
      <c r="F40" s="109">
        <f>IF(SUM(F$7:F$20)=0,0,SUM(F$7:F$20)/'Sch AL-TOU Cust Fcst'!$C39)</f>
        <v>10866.362927742215</v>
      </c>
      <c r="G40" s="23">
        <f>IF(SUM(G$7:G$20)=0,0,SUM(G$7:G$20)/'Sch AL-TOU Cust Fcst'!$C39)</f>
        <v>1313.0786590173946</v>
      </c>
      <c r="H40" s="23">
        <f>IF(SUM(H$7:H$20)=0,0,SUM(H$7:H$20)/'Sch AL-TOU Cust Fcst'!$C39)</f>
        <v>372.25254287656088</v>
      </c>
      <c r="I40" s="41">
        <f>SUM(F40:H40)</f>
        <v>12551.694129636169</v>
      </c>
      <c r="J40" s="109">
        <f>IF(SUM(J$7:J$20)=0,0,SUM(J$7:J$20)/'Sch AL-TOU Cust Fcst'!$D39)</f>
        <v>12742.973687903286</v>
      </c>
      <c r="K40" s="23">
        <f>IF(SUM(K$7:K$20)=0,0,SUM(K$7:K$20)/'Sch AL-TOU Cust Fcst'!$D39)</f>
        <v>2737.6879783197614</v>
      </c>
      <c r="L40" s="23">
        <f>IF(SUM(L$7:L$20)=0,0,SUM(L$7:L$20)/'Sch AL-TOU Cust Fcst'!$D39)</f>
        <v>631.92295524313511</v>
      </c>
      <c r="M40" s="41">
        <f>SUM(J40:L40)</f>
        <v>16112.584621466183</v>
      </c>
      <c r="N40" s="109">
        <f>IF(SUM(N$7:N$20)=0,0,SUM(N$7:N$20)/'Sch AL-TOU Cust Fcst'!$E39)</f>
        <v>12870.714657403234</v>
      </c>
      <c r="O40" s="23">
        <f>IF(SUM(O$7:O$20)=0,0,SUM(O$7:O$20)/'Sch AL-TOU Cust Fcst'!$E39)</f>
        <v>2430.0404588159026</v>
      </c>
      <c r="P40" s="23">
        <f>IF(SUM(P$7:P$20)=0,0,SUM(P$7:P$20)/'Sch AL-TOU Cust Fcst'!$E39)</f>
        <v>789.24816897552319</v>
      </c>
      <c r="Q40" s="41">
        <f>SUM(N40:P40)</f>
        <v>16090.00328519466</v>
      </c>
      <c r="R40" s="109">
        <f>IF(SUM(R$7:R$20)=0,0,SUM(R$7:R$20)/'Sch AL-TOU Cust Fcst'!$F39)</f>
        <v>12009.832192648977</v>
      </c>
      <c r="S40" s="23">
        <f>IF(SUM(S$7:S$20)=0,0,SUM(S$7:S$20)/'Sch AL-TOU Cust Fcst'!$F39)</f>
        <v>2413.0682526689016</v>
      </c>
      <c r="T40" s="23">
        <f>IF(SUM(T$7:T$20)=0,0,SUM(T$7:T$20)/'Sch AL-TOU Cust Fcst'!$F39)</f>
        <v>648.50368150651195</v>
      </c>
      <c r="U40" s="41">
        <f>SUM(R40:T40)</f>
        <v>15071.404126824391</v>
      </c>
      <c r="V40" s="109">
        <f>IF(SUM(V$7:V$20)=0,0,SUM(V$7:V$20)/'Sch AL-TOU Cust Fcst'!$G39)</f>
        <v>0</v>
      </c>
      <c r="W40" s="23">
        <f>IF(SUM(W$7:W$20)=0,0,SUM(W$7:W$20)/'Sch AL-TOU Cust Fcst'!$G39)</f>
        <v>3129.9273129422195</v>
      </c>
      <c r="X40" s="23">
        <f>IF(SUM(X$7:X$20)=0,0,SUM(X$7:X$20)/'Sch AL-TOU Cust Fcst'!$G39)</f>
        <v>959.06628509022323</v>
      </c>
      <c r="Y40" s="41">
        <f>SUM(V40:X40)</f>
        <v>4088.9935980324426</v>
      </c>
      <c r="Z40" s="109">
        <f>IF(SUM(Z$7:Z$20)=0,0,SUM(Z$7:Z$20)/'Sch AL-TOU Cust Fcst'!$H39)</f>
        <v>0</v>
      </c>
      <c r="AA40" s="23">
        <f>IF(SUM(AA$7:AA$20)=0,0,SUM(AA$7:AA$20)/'Sch AL-TOU Cust Fcst'!$H39)</f>
        <v>0</v>
      </c>
      <c r="AB40" s="23">
        <f>IF(SUM(AB$7:AB$20)=0,0,SUM(AB$7:AB$20)/'Sch AL-TOU Cust Fcst'!$H39)</f>
        <v>0</v>
      </c>
      <c r="AC40" s="41">
        <f>SUM(Z40:AB40)</f>
        <v>0</v>
      </c>
      <c r="AD40" s="109">
        <f>IF(SUM(AD$7:AD$20)=0,0,SUM(AD$7:AD$20)/'Sch AL-TOU Cust Fcst'!$I39)</f>
        <v>11494.704586346632</v>
      </c>
      <c r="AE40" s="23">
        <f>IF(SUM(AE$7:AE$20)=0,0,SUM(AE$7:AE$20)/'Sch AL-TOU Cust Fcst'!$I39)</f>
        <v>2443.8158839306248</v>
      </c>
      <c r="AF40" s="23">
        <f>IF(SUM(AF$7:AF$20)=0,0,SUM(AF$7:AF$20)/'Sch AL-TOU Cust Fcst'!$I39)</f>
        <v>661.82438141512705</v>
      </c>
      <c r="AG40" s="41">
        <f>SUM(AD40:AF40)</f>
        <v>14600.344851692384</v>
      </c>
    </row>
    <row r="41" spans="1:33" ht="13">
      <c r="A41" s="124" t="s">
        <v>119</v>
      </c>
      <c r="B41" s="109">
        <f>IF(SUM(B$21:B$34)=0,0,SUM(B$21:B$34)/'Sch AL-TOU Cust Fcst'!$B40)</f>
        <v>0</v>
      </c>
      <c r="C41" s="23">
        <f>IF(SUM(C$21:C$34)=0,0,SUM(C$21:C$34)/'Sch AL-TOU Cust Fcst'!$B40)</f>
        <v>0</v>
      </c>
      <c r="D41" s="23">
        <f>IF(SUM(D$21:D$34)=0,0,SUM(D$21:D$34)/'Sch AL-TOU Cust Fcst'!$B40)</f>
        <v>0</v>
      </c>
      <c r="E41" s="41">
        <f>SUM(B41:D41)</f>
        <v>0</v>
      </c>
      <c r="F41" s="109">
        <f>IF(SUM(F$21:F$34)=0,0,SUM(F$21:F$34)/'Sch AL-TOU Cust Fcst'!$C40)</f>
        <v>0</v>
      </c>
      <c r="G41" s="23">
        <f>IF(SUM(G$21:G$34)=0,0,SUM(G$21:G$34)/'Sch AL-TOU Cust Fcst'!$C40)</f>
        <v>0</v>
      </c>
      <c r="H41" s="23">
        <f>IF(SUM(H$21:H$34)=0,0,SUM(H$21:H$34)/'Sch AL-TOU Cust Fcst'!$C40)</f>
        <v>0</v>
      </c>
      <c r="I41" s="41">
        <f>SUM(F41:H41)</f>
        <v>0</v>
      </c>
      <c r="J41" s="109">
        <f>IF(SUM(J$21:J$34)=0,0,SUM(J$21:J$34)/'Sch AL-TOU Cust Fcst'!$D40)</f>
        <v>16768.219224341061</v>
      </c>
      <c r="K41" s="23">
        <f>IF(SUM(K$21:K$34)=0,0,SUM(K$21:K$34)/'Sch AL-TOU Cust Fcst'!$D40)</f>
        <v>9498.5730152662527</v>
      </c>
      <c r="L41" s="23">
        <f>IF(SUM(L$21:L$34)=0,0,SUM(L$21:L$34)/'Sch AL-TOU Cust Fcst'!$D40)</f>
        <v>865.67585029149416</v>
      </c>
      <c r="M41" s="41">
        <f>SUM(J41:L41)</f>
        <v>27132.468089898804</v>
      </c>
      <c r="N41" s="109">
        <f>IF(SUM(N$21:N$34)=0,0,SUM(N$21:N$34)/'Sch AL-TOU Cust Fcst'!$E40)</f>
        <v>27698.851584554213</v>
      </c>
      <c r="O41" s="23">
        <f>IF(SUM(O$21:O$34)=0,0,SUM(O$21:O$34)/'Sch AL-TOU Cust Fcst'!$E40)</f>
        <v>6502.6652508526768</v>
      </c>
      <c r="P41" s="23">
        <f>IF(SUM(P$21:P$34)=0,0,SUM(P$21:P$34)/'Sch AL-TOU Cust Fcst'!$E40)</f>
        <v>865.67585029149404</v>
      </c>
      <c r="Q41" s="41">
        <f>SUM(N41:P41)</f>
        <v>35067.192685698385</v>
      </c>
      <c r="R41" s="109">
        <f>IF(SUM(R$21:R$34)=0,0,SUM(R$21:R$34)/'Sch AL-TOU Cust Fcst'!$F40)</f>
        <v>26748.361814100892</v>
      </c>
      <c r="S41" s="23">
        <f>IF(SUM(S$21:S$34)=0,0,SUM(S$21:S$34)/'Sch AL-TOU Cust Fcst'!$F40)</f>
        <v>6763.1789694973359</v>
      </c>
      <c r="T41" s="23">
        <f>IF(SUM(T$21:T$34)=0,0,SUM(T$21:T$34)/'Sch AL-TOU Cust Fcst'!$F40)</f>
        <v>865.67585029149416</v>
      </c>
      <c r="U41" s="41">
        <f>SUM(R41:T41)</f>
        <v>34377.216633889722</v>
      </c>
      <c r="V41" s="109">
        <f>IF(SUM(V$21:V$34)=0,0,SUM(V$21:V$34)/'Sch AL-TOU Cust Fcst'!$G40)</f>
        <v>0</v>
      </c>
      <c r="W41" s="23">
        <f>IF(SUM(W$21:W$34)=0,0,SUM(W$21:W$34)/'Sch AL-TOU Cust Fcst'!$G40)</f>
        <v>3129.927312942219</v>
      </c>
      <c r="X41" s="23">
        <f>IF(SUM(X$21:X$34)=0,0,SUM(X$21:X$34)/'Sch AL-TOU Cust Fcst'!$G40)</f>
        <v>967.8216383526044</v>
      </c>
      <c r="Y41" s="41">
        <f>SUM(V41:X41)</f>
        <v>4097.7489512948232</v>
      </c>
      <c r="Z41" s="109">
        <f>IF(SUM(Z$21:Z$34)=0,0,SUM(Z$21:Z$34)/'Sch AL-TOU Cust Fcst'!$H40)</f>
        <v>0</v>
      </c>
      <c r="AA41" s="23">
        <f>IF(SUM(AA$21:AA$34)=0,0,SUM(AA$21:AA$34)/'Sch AL-TOU Cust Fcst'!$H40)</f>
        <v>0</v>
      </c>
      <c r="AB41" s="23">
        <f>IF(SUM(AB$21:AB$34)=0,0,SUM(AB$21:AB$34)/'Sch AL-TOU Cust Fcst'!$H40)</f>
        <v>0</v>
      </c>
      <c r="AC41" s="41">
        <f>SUM(Z41:AB41)</f>
        <v>0</v>
      </c>
      <c r="AD41" s="109">
        <f>IF(SUM(AD$21:AD$34)=0,0,SUM(AD$21:AD$34)/'Sch AL-TOU Cust Fcst'!$I40)</f>
        <v>18642.797628009714</v>
      </c>
      <c r="AE41" s="23">
        <f>IF(SUM(AE$21:AE$34)=0,0,SUM(AE$21:AE$34)/'Sch AL-TOU Cust Fcst'!$I40)</f>
        <v>5662.1936190260894</v>
      </c>
      <c r="AF41" s="23">
        <f>IF(SUM(AF$21:AF$34)=0,0,SUM(AF$21:AF$34)/'Sch AL-TOU Cust Fcst'!$I40)</f>
        <v>896.62911940092147</v>
      </c>
      <c r="AG41" s="41">
        <f>SUM(AD41:AF41)</f>
        <v>25201.620366436724</v>
      </c>
    </row>
    <row r="42" spans="1:33" ht="13.5" thickBot="1">
      <c r="A42" s="176" t="s">
        <v>85</v>
      </c>
      <c r="B42" s="177">
        <f>IF(SUM(B$35:B$37)=0,0,SUM(B$35:B$37)/'Sch AL-TOU Cust Fcst'!$B41)</f>
        <v>0</v>
      </c>
      <c r="C42" s="173">
        <f>IF(SUM(C$35:C$37)=0,0,SUM(C$35:C$37)/'Sch AL-TOU Cust Fcst'!$B41)</f>
        <v>0</v>
      </c>
      <c r="D42" s="173">
        <f>IF(SUM(D$35:D$37)=0,0,SUM(D$35:D$37)/'Sch AL-TOU Cust Fcst'!$B41)</f>
        <v>0</v>
      </c>
      <c r="E42" s="182">
        <f>SUM(B42:D42)</f>
        <v>0</v>
      </c>
      <c r="F42" s="177">
        <f>IF(SUM(F$35:F$37)=0,0,SUM(F$35:F$37)/'Sch AL-TOU Cust Fcst'!$C41)</f>
        <v>0</v>
      </c>
      <c r="G42" s="173">
        <f>IF(SUM(G$35:G$37)=0,0,SUM(G$35:G$37)/'Sch AL-TOU Cust Fcst'!$C41)</f>
        <v>0</v>
      </c>
      <c r="H42" s="173">
        <f>IF(SUM(H$35:H$37)=0,0,SUM(H$35:H$37)/'Sch AL-TOU Cust Fcst'!$C41)</f>
        <v>0</v>
      </c>
      <c r="I42" s="182">
        <f>SUM(F42:H42)</f>
        <v>0</v>
      </c>
      <c r="J42" s="177">
        <f>IF(SUM(J$35:J$37)=0,0,SUM(J$35:J$37)/'Sch AL-TOU Cust Fcst'!$D41)</f>
        <v>0</v>
      </c>
      <c r="K42" s="173">
        <f>IF(SUM(K$35:K$37)=0,0,SUM(K$35:K$37)/'Sch AL-TOU Cust Fcst'!$D41)</f>
        <v>0</v>
      </c>
      <c r="L42" s="173">
        <f>IF(SUM(L$35:L$37)=0,0,SUM(L$35:L$37)/'Sch AL-TOU Cust Fcst'!$D41)</f>
        <v>0</v>
      </c>
      <c r="M42" s="182">
        <f>SUM(J42:L42)</f>
        <v>0</v>
      </c>
      <c r="N42" s="177">
        <f>IF(SUM(N$35:N$37)=0,0,SUM(N$35:N$37)/'Sch AL-TOU Cust Fcst'!$E41)</f>
        <v>0</v>
      </c>
      <c r="O42" s="173">
        <f>IF(SUM(O$35:O$37)=0,0,SUM(O$35:O$37)/'Sch AL-TOU Cust Fcst'!$E41)</f>
        <v>0</v>
      </c>
      <c r="P42" s="173">
        <f>IF(SUM(P$35:P$37)=0,0,SUM(P$35:P$37)/'Sch AL-TOU Cust Fcst'!$E41)</f>
        <v>0</v>
      </c>
      <c r="Q42" s="182">
        <f>SUM(N42:P42)</f>
        <v>0</v>
      </c>
      <c r="R42" s="177">
        <f>IF(SUM(R$35:R$37)=0,0,SUM(R$35:R$37)/'Sch AL-TOU Cust Fcst'!$F41)</f>
        <v>0</v>
      </c>
      <c r="S42" s="173">
        <f>IF(SUM(S$35:S$37)=0,0,SUM(S$35:S$37)/'Sch AL-TOU Cust Fcst'!$F41)</f>
        <v>0</v>
      </c>
      <c r="T42" s="173">
        <f>IF(SUM(T$35:T$37)=0,0,SUM(T$35:T$37)/'Sch AL-TOU Cust Fcst'!$F41)</f>
        <v>0</v>
      </c>
      <c r="U42" s="182">
        <f>SUM(R42:T42)</f>
        <v>0</v>
      </c>
      <c r="V42" s="177">
        <f>IF(SUM(V$35:V$37)=0,0,SUM(V$35:V$37)/'Sch AL-TOU Cust Fcst'!$G41)</f>
        <v>0</v>
      </c>
      <c r="W42" s="173">
        <f>IF(SUM(W$35:W$37)=0,0,SUM(W$35:W$37)/'Sch AL-TOU Cust Fcst'!$G41)</f>
        <v>0</v>
      </c>
      <c r="X42" s="173">
        <f>IF(SUM(X$35:X$37)=0,0,SUM(X$35:X$37)/'Sch AL-TOU Cust Fcst'!$G41)</f>
        <v>0</v>
      </c>
      <c r="Y42" s="182">
        <f>SUM(V42:X42)</f>
        <v>0</v>
      </c>
      <c r="Z42" s="177">
        <f>IF(SUM(Z$35:Z$37)=0,0,SUM(Z$35:Z$37)/'Sch AL-TOU Cust Fcst'!$H41)</f>
        <v>0</v>
      </c>
      <c r="AA42" s="173">
        <f>IF(SUM(AA$35:AA$37)=0,0,SUM(AA$35:AA$37)/'Sch AL-TOU Cust Fcst'!$H41)</f>
        <v>0</v>
      </c>
      <c r="AB42" s="173">
        <f>IF(SUM(AB$35:AB$37)=0,0,SUM(AB$35:AB$37)/'Sch AL-TOU Cust Fcst'!$H41)</f>
        <v>0</v>
      </c>
      <c r="AC42" s="182">
        <f>SUM(Z42:AB42)</f>
        <v>0</v>
      </c>
      <c r="AD42" s="177">
        <f>IF(SUM(AD$35:AD$37)=0,0,SUM(AD$35:AD$37)/'Sch AL-TOU Cust Fcst'!$I41)</f>
        <v>0</v>
      </c>
      <c r="AE42" s="173">
        <f>IF(SUM(AE$35:AE$37)=0,0,SUM(AE$35:AE$37)/'Sch AL-TOU Cust Fcst'!$I41)</f>
        <v>0</v>
      </c>
      <c r="AF42" s="173">
        <f>IF(SUM(AF$35:AF$37)=0,0,SUM(AF$35:AF$37)/'Sch AL-TOU Cust Fcst'!$I41)</f>
        <v>0</v>
      </c>
      <c r="AG42" s="182">
        <f>SUM(AD42:AF42)</f>
        <v>0</v>
      </c>
    </row>
    <row r="44" spans="1:33" ht="13">
      <c r="A44" s="261" t="s">
        <v>86</v>
      </c>
      <c r="B44" s="18"/>
      <c r="C44" s="18"/>
      <c r="D44" s="18"/>
      <c r="E44" s="295">
        <f>IF(SUM(B7:D37)=0,0,SUM(B7:D37)/'Sch AL-TOU Cust Fcst'!B38)-E39</f>
        <v>0</v>
      </c>
      <c r="F44" s="18"/>
      <c r="G44" s="18"/>
      <c r="H44" s="18"/>
      <c r="I44" s="295">
        <f>IF(SUM(F7:H37)=0,0,SUM(F7:H37)/'Sch AL-TOU Cust Fcst'!C38)-I39</f>
        <v>0</v>
      </c>
      <c r="J44" s="18"/>
      <c r="K44" s="18"/>
      <c r="L44" s="18"/>
      <c r="M44" s="295">
        <f>IF(SUM(J7:L37)=0,0,SUM(J7:L37)/'Sch AL-TOU Cust Fcst'!D38)-M39</f>
        <v>0</v>
      </c>
      <c r="N44" s="18"/>
      <c r="O44" s="18"/>
      <c r="P44" s="18"/>
      <c r="Q44" s="295">
        <f>IF(SUM(N7:P37)=0,0,SUM(N7:P37)/'Sch AL-TOU Cust Fcst'!E38)-Q39</f>
        <v>0</v>
      </c>
      <c r="R44" s="18"/>
      <c r="S44" s="18"/>
      <c r="T44" s="18"/>
      <c r="U44" s="295">
        <f>IF(SUM(R7:T37)=0,0,SUM(R7:T37)/'Sch AL-TOU Cust Fcst'!F38)-U39</f>
        <v>0</v>
      </c>
      <c r="V44" s="18"/>
      <c r="W44" s="18"/>
      <c r="X44" s="18"/>
      <c r="Y44" s="295">
        <f>IF(SUM(V7:X37)=0,0,SUM(V7:X37)/'Sch AL-TOU Cust Fcst'!G38)-Y39</f>
        <v>0</v>
      </c>
      <c r="Z44" s="18"/>
      <c r="AA44" s="18"/>
      <c r="AB44" s="18"/>
      <c r="AC44" s="295">
        <f>IF(SUM(Z7:AB37)=0,0,SUM(Z7:AB37)/'Sch AL-TOU Cust Fcst'!H38)-AC39</f>
        <v>0</v>
      </c>
      <c r="AD44" s="18"/>
      <c r="AE44" s="18"/>
      <c r="AF44" s="18"/>
      <c r="AG44" s="295">
        <f>IF(SUM(AD7:AF37)=0,0,SUM(AD7:AF37)/'Sch AL-TOU Cust Fcst'!I38)-AG39</f>
        <v>0</v>
      </c>
    </row>
    <row r="45" spans="1:33" ht="13">
      <c r="E45" s="295">
        <f>IF(SUM(B7:D20)=0,0,SUM(B7:D20)/'Sch AL-TOU Cust Fcst'!B39)-E40</f>
        <v>0</v>
      </c>
      <c r="I45" s="295">
        <f>IF(SUM(F7:H20)=0,0,SUM(F7:H20)/'Sch AL-TOU Cust Fcst'!C39)-I40</f>
        <v>0</v>
      </c>
      <c r="M45" s="295">
        <f>IF(SUM(J7:L20)=0,0,SUM(J7:L20)/'Sch AL-TOU Cust Fcst'!D39)-M40</f>
        <v>0</v>
      </c>
      <c r="Q45" s="295">
        <f>IF(SUM(N7:P20)=0,0,SUM(N7:P20)/'Sch AL-TOU Cust Fcst'!E39)-Q40</f>
        <v>0</v>
      </c>
      <c r="U45" s="295">
        <f>IF(SUM(R7:T20)=0,0,SUM(R7:T20)/'Sch AL-TOU Cust Fcst'!F39)-U40</f>
        <v>0</v>
      </c>
      <c r="Y45" s="295">
        <f>IF(SUM(V7:X20)=0,0,SUM(V7:X20)/'Sch AL-TOU Cust Fcst'!G39)-Y40</f>
        <v>0</v>
      </c>
      <c r="AC45" s="295">
        <f>IF(SUM(Z7:AB20)=0,0,SUM(Z7:AB20)/'Sch AL-TOU Cust Fcst'!H39)-AC40</f>
        <v>0</v>
      </c>
      <c r="AG45" s="295">
        <f>IF(SUM(AD7:AF20)=0,0,SUM(AD7:AF20)/'Sch AL-TOU Cust Fcst'!I39)-AG40</f>
        <v>0</v>
      </c>
    </row>
    <row r="46" spans="1:33" ht="13">
      <c r="E46" s="295">
        <f>IF(SUM(B21:D34)=0,0,SUM(B21:D34)/'Sch AL-TOU Cust Fcst'!B40)-E41</f>
        <v>0</v>
      </c>
      <c r="F46" s="300"/>
      <c r="G46" s="300"/>
      <c r="H46" s="300"/>
      <c r="I46" s="295">
        <f>IF(SUM(F21:H34)=0,0,SUM(F21:H34)/'Sch AL-TOU Cust Fcst'!C40)-I41</f>
        <v>0</v>
      </c>
      <c r="M46" s="295">
        <f>IF(SUM(J21:L34)=0,0,SUM(J21:L34)/'Sch AL-TOU Cust Fcst'!D40)-M41</f>
        <v>0</v>
      </c>
      <c r="N46" s="300"/>
      <c r="O46" s="300"/>
      <c r="P46" s="300"/>
      <c r="Q46" s="295">
        <f>IF(SUM(N21:P34)=0,0,SUM(N21:P34)/'Sch AL-TOU Cust Fcst'!E40)-Q41</f>
        <v>0</v>
      </c>
      <c r="R46" s="300"/>
      <c r="S46" s="300"/>
      <c r="T46" s="300"/>
      <c r="U46" s="295">
        <f>IF(SUM(R21:T34)=0,0,SUM(R21:T34)/'Sch AL-TOU Cust Fcst'!F40)-U41</f>
        <v>0</v>
      </c>
      <c r="V46" s="300"/>
      <c r="W46" s="300"/>
      <c r="X46" s="300"/>
      <c r="Y46" s="295">
        <f>IF(SUM(V21:X34)=0,0,SUM(V21:X34)/'Sch AL-TOU Cust Fcst'!G40)-Y41</f>
        <v>0</v>
      </c>
      <c r="Z46" s="300"/>
      <c r="AA46" s="300"/>
      <c r="AB46" s="300"/>
      <c r="AC46" s="295">
        <f>IF(SUM(Z21:AB34)=0,0,SUM(Z21:AB34)/'Sch AL-TOU Cust Fcst'!H40)-AC41</f>
        <v>0</v>
      </c>
      <c r="AD46" s="300"/>
      <c r="AE46" s="300"/>
      <c r="AF46" s="300"/>
      <c r="AG46" s="295">
        <f>IF(SUM(AD21:AF34)=0,0,SUM(AD21:AF34)/'Sch AL-TOU Cust Fcst'!I40)-AG41</f>
        <v>0</v>
      </c>
    </row>
    <row r="47" spans="1:33" ht="13">
      <c r="A47" s="19"/>
      <c r="E47" s="295">
        <f>IF(SUM(B35:D37)=0,0,SUM(B35:D37)/'Sch AL-TOU Cust Fcst'!B41)-E42</f>
        <v>0</v>
      </c>
      <c r="F47" s="300"/>
      <c r="G47" s="300"/>
      <c r="H47" s="300"/>
      <c r="I47" s="295">
        <f>IF(SUM(F35:H37)=0,0,SUM(F35:H37)/'Sch AL-TOU Cust Fcst'!F41)-I42</f>
        <v>0</v>
      </c>
      <c r="M47" s="295">
        <f>IF(SUM(J35:L37)=0,0,SUM(J35:L37)/'Sch AL-TOU Cust Fcst'!D41)-M42</f>
        <v>0</v>
      </c>
      <c r="N47" s="300"/>
      <c r="O47" s="300"/>
      <c r="P47" s="300"/>
      <c r="Q47" s="295">
        <f>IF(SUM(N35:P37)=0,0,SUM(N35:P37)/'Sch AL-TOU Cust Fcst'!E41)-Q42</f>
        <v>0</v>
      </c>
      <c r="R47" s="300"/>
      <c r="S47" s="300"/>
      <c r="T47" s="300"/>
      <c r="U47" s="295">
        <f>IF(SUM(R35:T37)=0,0,SUM(R35:T37)/'Sch AL-TOU Cust Fcst'!F41)-U42</f>
        <v>0</v>
      </c>
      <c r="V47" s="300"/>
      <c r="W47" s="300"/>
      <c r="X47" s="300"/>
      <c r="Y47" s="295">
        <f>IF(SUM(V35:X37)=0,0,SUM(V35:X37)/'Sch AL-TOU Cust Fcst'!G41)-Y42</f>
        <v>0</v>
      </c>
      <c r="Z47" s="300"/>
      <c r="AA47" s="300"/>
      <c r="AB47" s="300"/>
      <c r="AC47" s="295">
        <f>IF(SUM(Z35:AB37)=0,0,SUM(Z35:AB37)/'Sch AL-TOU Cust Fcst'!H41)-AC42</f>
        <v>0</v>
      </c>
      <c r="AD47" s="300"/>
      <c r="AE47" s="300"/>
      <c r="AF47" s="300"/>
      <c r="AG47" s="295">
        <f>IF(SUM(AD35:AF37)=0,0,SUM(AD35:AF37)/'Sch AL-TOU Cust Fcst'!I41)-AG42</f>
        <v>0</v>
      </c>
    </row>
    <row r="59" spans="1:1">
      <c r="A59" s="19"/>
    </row>
  </sheetData>
  <mergeCells count="13">
    <mergeCell ref="AD3:AG3"/>
    <mergeCell ref="Z2:AC2"/>
    <mergeCell ref="Z3:AC3"/>
    <mergeCell ref="A1:Y1"/>
    <mergeCell ref="B2:U2"/>
    <mergeCell ref="V2:Y2"/>
    <mergeCell ref="AD2:AG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  <colBreaks count="2" manualBreakCount="2">
    <brk id="13" max="41" man="1"/>
    <brk id="21" max="4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1">
    <tabColor rgb="FFFFC000"/>
  </sheetPr>
  <dimension ref="A1:Q56"/>
  <sheetViews>
    <sheetView topLeftCell="B7" zoomScaleNormal="100" workbookViewId="0">
      <selection activeCell="J35" sqref="J35"/>
    </sheetView>
  </sheetViews>
  <sheetFormatPr defaultRowHeight="12.5"/>
  <cols>
    <col min="1" max="1" width="40.7265625" customWidth="1"/>
    <col min="2" max="2" width="10.26953125" style="12" customWidth="1"/>
    <col min="3" max="3" width="17.1796875" style="12" bestFit="1" customWidth="1"/>
    <col min="4" max="4" width="8.81640625" style="12" bestFit="1" customWidth="1"/>
    <col min="5" max="5" width="14.81640625" style="12" bestFit="1" customWidth="1"/>
    <col min="6" max="6" width="13.7265625" style="12" bestFit="1" customWidth="1"/>
    <col min="7" max="7" width="17.1796875" style="12" bestFit="1" customWidth="1"/>
    <col min="8" max="8" width="14.81640625" style="12" bestFit="1" customWidth="1"/>
    <col min="9" max="9" width="14" style="12" bestFit="1" customWidth="1"/>
    <col min="10" max="10" width="10.26953125" style="12" bestFit="1" customWidth="1"/>
    <col min="11" max="11" width="17" style="12" bestFit="1" customWidth="1"/>
    <col min="12" max="12" width="11.26953125" style="12" bestFit="1" customWidth="1"/>
    <col min="13" max="13" width="11.1796875" style="12" bestFit="1" customWidth="1"/>
    <col min="14" max="14" width="10.26953125" bestFit="1" customWidth="1"/>
    <col min="15" max="15" width="17" bestFit="1" customWidth="1"/>
    <col min="16" max="17" width="10.26953125" bestFit="1" customWidth="1"/>
  </cols>
  <sheetData>
    <row r="1" spans="1:17" ht="18.5" thickBot="1">
      <c r="A1" s="735" t="s">
        <v>154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199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128</v>
      </c>
      <c r="F3" s="298" t="s">
        <v>144</v>
      </c>
      <c r="G3" s="299" t="s">
        <v>119</v>
      </c>
      <c r="H3" s="299" t="s">
        <v>85</v>
      </c>
      <c r="I3" s="445" t="s">
        <v>129</v>
      </c>
      <c r="J3" s="298" t="s">
        <v>144</v>
      </c>
      <c r="K3" s="299" t="s">
        <v>119</v>
      </c>
      <c r="L3" s="299" t="s">
        <v>85</v>
      </c>
      <c r="M3" s="445" t="s">
        <v>190</v>
      </c>
      <c r="N3" s="382" t="s">
        <v>144</v>
      </c>
      <c r="O3" s="155" t="s">
        <v>119</v>
      </c>
      <c r="P3" s="155" t="s">
        <v>85</v>
      </c>
      <c r="Q3" s="450" t="s">
        <v>2</v>
      </c>
    </row>
    <row r="4" spans="1:17" ht="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 ht="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 ht="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 ht="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 ht="13">
      <c r="A8" s="117" t="s">
        <v>53</v>
      </c>
      <c r="B8" s="115">
        <f>'Sch AL-TOU TSM'!R40</f>
        <v>12009.832192648977</v>
      </c>
      <c r="C8" s="134">
        <f>'Sch AL-TOU TSM'!R41</f>
        <v>26748.361814100892</v>
      </c>
      <c r="D8" s="134"/>
      <c r="E8" s="44">
        <f>'Sch AL-TOU TSM'!R39</f>
        <v>12431.456796247723</v>
      </c>
      <c r="F8" s="115">
        <f>'Sch AL-TOU TSM'!V40</f>
        <v>0</v>
      </c>
      <c r="G8" s="134">
        <f>'Sch AL-TOU TSM'!V41</f>
        <v>0</v>
      </c>
      <c r="H8" s="134"/>
      <c r="I8" s="44">
        <f>'Sch AL-TOU TSM'!V39</f>
        <v>0</v>
      </c>
      <c r="J8" s="115"/>
      <c r="K8" s="134"/>
      <c r="L8" s="134"/>
      <c r="M8" s="44"/>
      <c r="N8" s="115">
        <f>'Sch AL-TOU TSM'!AD40</f>
        <v>11494.704586346632</v>
      </c>
      <c r="O8" s="134">
        <f>'Sch AL-TOU TSM'!AD41</f>
        <v>18642.797628009714</v>
      </c>
      <c r="P8" s="134"/>
      <c r="Q8" s="44">
        <f>'Sch AL-TOU TSM'!AD39</f>
        <v>11772.54565863742</v>
      </c>
    </row>
    <row r="9" spans="1:17" ht="13">
      <c r="A9" s="117" t="s">
        <v>51</v>
      </c>
      <c r="B9" s="115">
        <f>'Sch AL-TOU TSM'!S40</f>
        <v>2413.0682526689016</v>
      </c>
      <c r="C9" s="134">
        <f>'Sch AL-TOU TSM'!S41</f>
        <v>6763.1789694973359</v>
      </c>
      <c r="D9" s="134"/>
      <c r="E9" s="44">
        <f>'Sch AL-TOU TSM'!S39</f>
        <v>2537.511718448819</v>
      </c>
      <c r="F9" s="115">
        <f>'Sch AL-TOU TSM'!W40</f>
        <v>3129.9273129422195</v>
      </c>
      <c r="G9" s="134">
        <f>'Sch AL-TOU TSM'!W41</f>
        <v>3129.927312942219</v>
      </c>
      <c r="H9" s="134"/>
      <c r="I9" s="44">
        <f>'Sch AL-TOU TSM'!W39</f>
        <v>3129.9273129422199</v>
      </c>
      <c r="J9" s="115"/>
      <c r="K9" s="134"/>
      <c r="L9" s="134"/>
      <c r="M9" s="44"/>
      <c r="N9" s="115">
        <f>'Sch AL-TOU TSM'!AE40</f>
        <v>2443.8158839306248</v>
      </c>
      <c r="O9" s="134">
        <f>'Sch AL-TOU TSM'!AE41</f>
        <v>5662.1936190260894</v>
      </c>
      <c r="P9" s="134"/>
      <c r="Q9" s="44">
        <f>'Sch AL-TOU TSM'!AE39</f>
        <v>2568.9118382982929</v>
      </c>
    </row>
    <row r="10" spans="1:17" ht="13">
      <c r="A10" s="117" t="s">
        <v>52</v>
      </c>
      <c r="B10" s="115">
        <f>'Sch AL-TOU TSM'!T40</f>
        <v>648.50368150651195</v>
      </c>
      <c r="C10" s="134">
        <f>'Sch AL-TOU TSM'!T41</f>
        <v>865.67585029149416</v>
      </c>
      <c r="D10" s="134"/>
      <c r="E10" s="44">
        <f>'Sch AL-TOU TSM'!T39</f>
        <v>654.71631817573416</v>
      </c>
      <c r="F10" s="115">
        <f>'Sch AL-TOU TSM'!X40</f>
        <v>959.06628509022323</v>
      </c>
      <c r="G10" s="134">
        <f>'Sch AL-TOU TSM'!X41</f>
        <v>967.8216383526044</v>
      </c>
      <c r="H10" s="134"/>
      <c r="I10" s="44">
        <f>'Sch AL-TOU TSM'!X39</f>
        <v>961.01191914852984</v>
      </c>
      <c r="J10" s="115"/>
      <c r="K10" s="134"/>
      <c r="L10" s="134"/>
      <c r="M10" s="44"/>
      <c r="N10" s="115">
        <f>'Sch AL-TOU TSM'!AF40</f>
        <v>661.82438141512705</v>
      </c>
      <c r="O10" s="134">
        <f>'Sch AL-TOU TSM'!AF41</f>
        <v>896.62911940092147</v>
      </c>
      <c r="P10" s="134"/>
      <c r="Q10" s="44">
        <f>'Sch AL-TOU TSM'!AF39</f>
        <v>670.95106734390345</v>
      </c>
    </row>
    <row r="11" spans="1:17" ht="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 ht="13">
      <c r="A12" s="117" t="s">
        <v>35</v>
      </c>
      <c r="B12" s="114">
        <f t="shared" ref="B12:I12" si="0">SUM(B8:B10)</f>
        <v>15071.404126824391</v>
      </c>
      <c r="C12" s="30">
        <f t="shared" si="0"/>
        <v>34377.216633889722</v>
      </c>
      <c r="D12" s="30"/>
      <c r="E12" s="40">
        <f t="shared" si="0"/>
        <v>15623.684832872277</v>
      </c>
      <c r="F12" s="114">
        <f t="shared" si="0"/>
        <v>4088.9935980324426</v>
      </c>
      <c r="G12" s="30">
        <f t="shared" si="0"/>
        <v>4097.7489512948232</v>
      </c>
      <c r="H12" s="30"/>
      <c r="I12" s="40">
        <f t="shared" si="0"/>
        <v>4090.93923209075</v>
      </c>
      <c r="J12" s="114"/>
      <c r="K12" s="30"/>
      <c r="L12" s="30"/>
      <c r="M12" s="40"/>
      <c r="N12" s="114">
        <f t="shared" ref="N12:Q12" si="1">SUM(N8:N10)</f>
        <v>14600.344851692384</v>
      </c>
      <c r="O12" s="30">
        <f t="shared" si="1"/>
        <v>25201.620366436724</v>
      </c>
      <c r="P12" s="30"/>
      <c r="Q12" s="40">
        <f t="shared" si="1"/>
        <v>15012.408564279616</v>
      </c>
    </row>
    <row r="13" spans="1:17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 ht="13">
      <c r="A15" s="377">
        <f>Inputs!C3</f>
        <v>2.9094935671404847E-2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 ht="13">
      <c r="A17" s="47">
        <f>Inputs!C4</f>
        <v>1.99475E-2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 ht="13">
      <c r="A18" s="378" t="s">
        <v>92</v>
      </c>
      <c r="B18" s="114">
        <f>(B8*(1+$A$15)*(1+$A$17))</f>
        <v>12605.79377645473</v>
      </c>
      <c r="C18" s="30">
        <f t="shared" ref="C18:E18" si="2">(C8*(1+$A$15)*(1+$A$17))</f>
        <v>28075.69060731235</v>
      </c>
      <c r="D18" s="30"/>
      <c r="E18" s="40">
        <f t="shared" si="2"/>
        <v>13048.340576342443</v>
      </c>
      <c r="F18" s="114">
        <f t="shared" ref="F18:Q18" si="3">(F8*(1+$A$15)*(1+$A$17))</f>
        <v>0</v>
      </c>
      <c r="G18" s="30">
        <f t="shared" si="3"/>
        <v>0</v>
      </c>
      <c r="H18" s="30"/>
      <c r="I18" s="40">
        <f t="shared" si="3"/>
        <v>0</v>
      </c>
      <c r="J18" s="114"/>
      <c r="K18" s="30"/>
      <c r="L18" s="30"/>
      <c r="M18" s="40"/>
      <c r="N18" s="114">
        <f t="shared" si="3"/>
        <v>12065.104092415617</v>
      </c>
      <c r="O18" s="30">
        <f t="shared" si="3"/>
        <v>19567.905574793454</v>
      </c>
      <c r="P18" s="30"/>
      <c r="Q18" s="40">
        <f t="shared" si="3"/>
        <v>12356.732418585778</v>
      </c>
    </row>
    <row r="19" spans="1:17" ht="13">
      <c r="A19" s="378" t="s">
        <v>51</v>
      </c>
      <c r="B19" s="114">
        <f t="shared" ref="B19:E20" si="4">(B9*(1+$A$15)*(1+$A$17))</f>
        <v>2532.8114726093245</v>
      </c>
      <c r="C19" s="30">
        <f t="shared" si="4"/>
        <v>7098.7868935356455</v>
      </c>
      <c r="D19" s="30"/>
      <c r="E19" s="40">
        <f t="shared" si="4"/>
        <v>2663.4301724616935</v>
      </c>
      <c r="F19" s="114">
        <f t="shared" ref="F19:Q19" si="5">(F9*(1+$A$15)*(1+$A$17))</f>
        <v>3285.2430916056096</v>
      </c>
      <c r="G19" s="30">
        <f t="shared" si="5"/>
        <v>3285.2430916056092</v>
      </c>
      <c r="H19" s="30"/>
      <c r="I19" s="40">
        <f t="shared" si="5"/>
        <v>3285.2430916056101</v>
      </c>
      <c r="J19" s="114"/>
      <c r="K19" s="30"/>
      <c r="L19" s="30"/>
      <c r="M19" s="40"/>
      <c r="N19" s="114">
        <f t="shared" si="5"/>
        <v>2565.0848876398022</v>
      </c>
      <c r="O19" s="30">
        <f t="shared" si="5"/>
        <v>5943.1675596174546</v>
      </c>
      <c r="P19" s="30"/>
      <c r="Q19" s="40">
        <f t="shared" si="5"/>
        <v>2696.3884543951172</v>
      </c>
    </row>
    <row r="20" spans="1:17" ht="13">
      <c r="A20" s="378" t="s">
        <v>52</v>
      </c>
      <c r="B20" s="114">
        <f t="shared" si="4"/>
        <v>680.68425446830918</v>
      </c>
      <c r="C20" s="30">
        <f t="shared" si="4"/>
        <v>908.63311584911696</v>
      </c>
      <c r="D20" s="30"/>
      <c r="E20" s="40">
        <f t="shared" si="4"/>
        <v>687.2051796073124</v>
      </c>
      <c r="F20" s="114">
        <f t="shared" ref="F20:Q20" si="6">(F10*(1+$A$15)*(1+$A$17))</f>
        <v>1006.6578461602368</v>
      </c>
      <c r="G20" s="30">
        <f t="shared" si="6"/>
        <v>1015.8476646269046</v>
      </c>
      <c r="H20" s="30"/>
      <c r="I20" s="40">
        <f t="shared" si="6"/>
        <v>1008.7000280417183</v>
      </c>
      <c r="J20" s="114"/>
      <c r="K20" s="30"/>
      <c r="L20" s="30"/>
      <c r="M20" s="40"/>
      <c r="N20" s="114">
        <f t="shared" si="6"/>
        <v>694.66596489627182</v>
      </c>
      <c r="O20" s="30">
        <f t="shared" si="6"/>
        <v>941.12237305450708</v>
      </c>
      <c r="P20" s="30"/>
      <c r="Q20" s="40">
        <f t="shared" si="6"/>
        <v>704.24554259853539</v>
      </c>
    </row>
    <row r="21" spans="1:17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 ht="13">
      <c r="A22" s="117" t="s">
        <v>35</v>
      </c>
      <c r="B22" s="119">
        <f t="shared" ref="B22:I22" si="7">B18+B19+B20</f>
        <v>15819.289503532364</v>
      </c>
      <c r="C22" s="73">
        <f t="shared" si="7"/>
        <v>36083.110616697108</v>
      </c>
      <c r="D22" s="73"/>
      <c r="E22" s="75">
        <f t="shared" si="7"/>
        <v>16398.975928411452</v>
      </c>
      <c r="F22" s="119">
        <f t="shared" si="7"/>
        <v>4291.9009377658467</v>
      </c>
      <c r="G22" s="73">
        <f t="shared" si="7"/>
        <v>4301.0907562325137</v>
      </c>
      <c r="H22" s="73"/>
      <c r="I22" s="75">
        <f t="shared" si="7"/>
        <v>4293.9431196473288</v>
      </c>
      <c r="J22" s="119"/>
      <c r="K22" s="73"/>
      <c r="L22" s="73"/>
      <c r="M22" s="75"/>
      <c r="N22" s="119">
        <f t="shared" ref="N22:Q22" si="8">N18+N19+N20</f>
        <v>15324.854944951692</v>
      </c>
      <c r="O22" s="73">
        <f t="shared" si="8"/>
        <v>26452.195507465414</v>
      </c>
      <c r="P22" s="73"/>
      <c r="Q22" s="75">
        <f t="shared" si="8"/>
        <v>15757.36641557943</v>
      </c>
    </row>
    <row r="23" spans="1:17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 ht="13">
      <c r="A24" s="378" t="str">
        <f>'Resid TSM Sum by Rate Schedule'!A25</f>
        <v>Annualized Transformer Cost at 8.05%</v>
      </c>
      <c r="B24" s="119">
        <f>B18*Inputs!$C$5</f>
        <v>1014.4974233025682</v>
      </c>
      <c r="C24" s="73">
        <f>C18*Inputs!$C$5</f>
        <v>2259.4940297816784</v>
      </c>
      <c r="D24" s="73"/>
      <c r="E24" s="75">
        <f>E18*Inputs!$C$5</f>
        <v>1050.1129978660251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970.98344068542372</v>
      </c>
      <c r="O24" s="73">
        <f>O18*Inputs!$C$5</f>
        <v>1574.7988692417755</v>
      </c>
      <c r="P24" s="73"/>
      <c r="Q24" s="75">
        <f>Q18*Inputs!$C$5</f>
        <v>994.45329833249025</v>
      </c>
    </row>
    <row r="25" spans="1:17" ht="13">
      <c r="A25" s="378" t="str">
        <f>'Resid TSM Sum by Rate Schedule'!A26</f>
        <v>Annualized Services Cost at 7.08%</v>
      </c>
      <c r="B25" s="119">
        <f>B19*Inputs!$C$6</f>
        <v>179.25988379503818</v>
      </c>
      <c r="C25" s="73">
        <f>C19*Inputs!$C$6</f>
        <v>502.41706790358569</v>
      </c>
      <c r="D25" s="73"/>
      <c r="E25" s="75">
        <f>E19*Inputs!$C$6</f>
        <v>188.50443010660103</v>
      </c>
      <c r="F25" s="119">
        <f>F19*Inputs!$C$6</f>
        <v>232.51327673155672</v>
      </c>
      <c r="G25" s="73">
        <f>G19*Inputs!$C$6</f>
        <v>232.51327673155669</v>
      </c>
      <c r="H25" s="73"/>
      <c r="I25" s="75">
        <f>I19*Inputs!$C$6</f>
        <v>232.51327673155674</v>
      </c>
      <c r="J25" s="119"/>
      <c r="K25" s="73"/>
      <c r="L25" s="73"/>
      <c r="M25" s="75"/>
      <c r="N25" s="119">
        <f>N19*Inputs!$C$6</f>
        <v>181.54403667834472</v>
      </c>
      <c r="O25" s="73">
        <f>O19*Inputs!$C$6</f>
        <v>420.62804027569825</v>
      </c>
      <c r="P25" s="73"/>
      <c r="Q25" s="75">
        <f>Q19*Inputs!$C$6</f>
        <v>190.83705448601569</v>
      </c>
    </row>
    <row r="26" spans="1:17" ht="16">
      <c r="A26" s="378" t="str">
        <f>'Resid TSM Sum by Rate Schedule'!A27</f>
        <v>Annualized Meter Cost at 10.78%</v>
      </c>
      <c r="B26" s="459">
        <f>B20*Inputs!$C$7</f>
        <v>73.354925230112414</v>
      </c>
      <c r="C26" s="458">
        <f>C20*Inputs!$C$7</f>
        <v>97.920164653697341</v>
      </c>
      <c r="D26" s="458"/>
      <c r="E26" s="457">
        <f>E20*Inputs!$C$7</f>
        <v>74.057662178797059</v>
      </c>
      <c r="F26" s="459">
        <f>F20*Inputs!$C$7</f>
        <v>108.48394178747398</v>
      </c>
      <c r="G26" s="458">
        <f>G20*Inputs!$C$7</f>
        <v>109.47429589376557</v>
      </c>
      <c r="H26" s="458"/>
      <c r="I26" s="457">
        <f>I20*Inputs!$C$7</f>
        <v>108.70402047776098</v>
      </c>
      <c r="J26" s="459"/>
      <c r="K26" s="458"/>
      <c r="L26" s="458"/>
      <c r="M26" s="457"/>
      <c r="N26" s="459">
        <f>N20*Inputs!$C$7</f>
        <v>74.861684518724743</v>
      </c>
      <c r="O26" s="458">
        <f>O20*Inputs!$C$7</f>
        <v>101.42141654462709</v>
      </c>
      <c r="P26" s="458"/>
      <c r="Q26" s="457">
        <f>Q20*Inputs!$C$7</f>
        <v>75.894041593936507</v>
      </c>
    </row>
    <row r="27" spans="1:17" ht="13">
      <c r="A27" s="453" t="s">
        <v>275</v>
      </c>
      <c r="B27" s="119">
        <f>SUM(B24:B26)</f>
        <v>1267.1122323277189</v>
      </c>
      <c r="C27" s="73">
        <f t="shared" ref="C27:Q27" si="9">SUM(C24:C26)</f>
        <v>2859.8312623389611</v>
      </c>
      <c r="D27" s="73"/>
      <c r="E27" s="75">
        <f t="shared" si="9"/>
        <v>1312.6750901514231</v>
      </c>
      <c r="F27" s="119">
        <f t="shared" si="9"/>
        <v>340.9972185190307</v>
      </c>
      <c r="G27" s="73">
        <f t="shared" si="9"/>
        <v>341.98757262532229</v>
      </c>
      <c r="H27" s="73"/>
      <c r="I27" s="75">
        <f t="shared" si="9"/>
        <v>341.21729720931773</v>
      </c>
      <c r="J27" s="119"/>
      <c r="K27" s="73"/>
      <c r="L27" s="73"/>
      <c r="M27" s="75"/>
      <c r="N27" s="119">
        <f t="shared" si="9"/>
        <v>1227.3891618824932</v>
      </c>
      <c r="O27" s="73">
        <f t="shared" si="9"/>
        <v>2096.8483260621006</v>
      </c>
      <c r="P27" s="73"/>
      <c r="Q27" s="75">
        <f t="shared" si="9"/>
        <v>1261.1843944124423</v>
      </c>
    </row>
    <row r="28" spans="1:17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 ht="13">
      <c r="A29" s="117" t="s">
        <v>50</v>
      </c>
      <c r="B29" s="114">
        <f>'Distribution O&amp;M Allocations'!$S$20</f>
        <v>169.67874153147253</v>
      </c>
      <c r="C29" s="30">
        <f>'Distribution O&amp;M Allocations'!$S$20</f>
        <v>169.67874153147253</v>
      </c>
      <c r="D29" s="30"/>
      <c r="E29" s="30">
        <f>'Distribution O&amp;M Allocations'!$S$20</f>
        <v>169.67874153147253</v>
      </c>
      <c r="F29" s="114">
        <f>'Distribution O&amp;M Allocations'!$T$20</f>
        <v>44.429046541082499</v>
      </c>
      <c r="G29" s="30">
        <f>'Distribution O&amp;M Allocations'!$T$20</f>
        <v>44.429046541082499</v>
      </c>
      <c r="H29" s="30"/>
      <c r="I29" s="30">
        <f>'Distribution O&amp;M Allocations'!$T$20</f>
        <v>44.429046541082499</v>
      </c>
      <c r="J29" s="114"/>
      <c r="K29" s="30"/>
      <c r="L29" s="30"/>
      <c r="M29" s="40"/>
      <c r="N29" s="114">
        <f>'Distribution O&amp;M Allocations'!$U$24</f>
        <v>163.04006511855434</v>
      </c>
      <c r="O29" s="30">
        <f>'Distribution O&amp;M Allocations'!$U$24</f>
        <v>163.04006511855434</v>
      </c>
      <c r="P29" s="30"/>
      <c r="Q29" s="40">
        <f>'Distribution O&amp;M Allocations'!$U$24</f>
        <v>163.04006511855434</v>
      </c>
    </row>
    <row r="30" spans="1:17" ht="13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14"/>
      <c r="O30" s="30"/>
      <c r="P30" s="30"/>
      <c r="Q30" s="40"/>
    </row>
    <row r="31" spans="1:17" ht="13">
      <c r="A31" s="117" t="s">
        <v>57</v>
      </c>
      <c r="B31" s="717">
        <v>447.86258547437507</v>
      </c>
      <c r="C31" s="718">
        <v>447.86258547437507</v>
      </c>
      <c r="D31" s="718"/>
      <c r="E31" s="718">
        <v>447.86258547437507</v>
      </c>
      <c r="F31" s="717">
        <v>447.86258547437507</v>
      </c>
      <c r="G31" s="718">
        <v>447.86258547437507</v>
      </c>
      <c r="H31" s="718"/>
      <c r="I31" s="718">
        <v>447.86258547437507</v>
      </c>
      <c r="J31" s="161"/>
      <c r="K31" s="162"/>
      <c r="L31" s="162"/>
      <c r="M31" s="290"/>
      <c r="N31" s="719">
        <v>447.86258547437507</v>
      </c>
      <c r="O31" s="610">
        <v>447.86258547437507</v>
      </c>
      <c r="P31" s="610"/>
      <c r="Q31" s="711"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79" t="s">
        <v>126</v>
      </c>
      <c r="B33" s="279">
        <f t="shared" ref="B33:Q33" si="10">B27+B29+B31</f>
        <v>1884.6535593335664</v>
      </c>
      <c r="C33" s="280">
        <f>C27+C29+C31</f>
        <v>3477.3725893448086</v>
      </c>
      <c r="D33" s="280"/>
      <c r="E33" s="291">
        <f t="shared" si="10"/>
        <v>1930.2164171572706</v>
      </c>
      <c r="F33" s="279">
        <f t="shared" si="10"/>
        <v>833.28885053448835</v>
      </c>
      <c r="G33" s="280">
        <f t="shared" si="10"/>
        <v>834.27920464077988</v>
      </c>
      <c r="H33" s="280"/>
      <c r="I33" s="291">
        <f t="shared" si="10"/>
        <v>833.50892922477533</v>
      </c>
      <c r="J33" s="279"/>
      <c r="K33" s="280"/>
      <c r="L33" s="280"/>
      <c r="M33" s="291"/>
      <c r="N33" s="279">
        <f t="shared" si="10"/>
        <v>1838.2918124754226</v>
      </c>
      <c r="O33" s="280">
        <f t="shared" si="10"/>
        <v>2707.7509766550297</v>
      </c>
      <c r="P33" s="280"/>
      <c r="Q33" s="291">
        <f t="shared" si="10"/>
        <v>1872.0870450053717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N2:Q2"/>
    <mergeCell ref="J2:M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2">
    <tabColor rgb="FFFFC000"/>
  </sheetPr>
  <dimension ref="A1:Q58"/>
  <sheetViews>
    <sheetView zoomScaleNormal="100" workbookViewId="0">
      <selection activeCell="A8" sqref="A8"/>
    </sheetView>
  </sheetViews>
  <sheetFormatPr defaultRowHeight="12.5"/>
  <cols>
    <col min="1" max="1" width="40.7265625" customWidth="1"/>
    <col min="2" max="2" width="10.26953125" style="12" customWidth="1"/>
    <col min="3" max="3" width="17" style="12" bestFit="1" customWidth="1"/>
    <col min="4" max="4" width="8.7265625" style="12" bestFit="1" customWidth="1"/>
    <col min="5" max="5" width="10.26953125" style="12" bestFit="1" customWidth="1"/>
    <col min="6" max="6" width="14" style="12" bestFit="1" customWidth="1"/>
    <col min="7" max="7" width="17.1796875" style="12" bestFit="1" customWidth="1"/>
    <col min="8" max="8" width="14.81640625" style="12" bestFit="1" customWidth="1"/>
    <col min="9" max="9" width="13.7265625" style="12" bestFit="1" customWidth="1"/>
    <col min="10" max="10" width="15.1796875" style="12" bestFit="1" customWidth="1"/>
    <col min="11" max="11" width="17.1796875" style="12" bestFit="1" customWidth="1"/>
    <col min="12" max="12" width="14" style="12" bestFit="1" customWidth="1"/>
    <col min="13" max="13" width="15.81640625" style="12" bestFit="1" customWidth="1"/>
    <col min="14" max="14" width="14.453125" bestFit="1" customWidth="1"/>
    <col min="15" max="15" width="17.1796875" bestFit="1" customWidth="1"/>
    <col min="16" max="16" width="14.81640625" bestFit="1" customWidth="1"/>
    <col min="17" max="17" width="14.453125" bestFit="1" customWidth="1"/>
  </cols>
  <sheetData>
    <row r="1" spans="1:17" ht="18.5" thickBot="1">
      <c r="A1" s="735" t="s">
        <v>320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199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2</v>
      </c>
      <c r="F3" s="298" t="s">
        <v>144</v>
      </c>
      <c r="G3" s="299" t="s">
        <v>119</v>
      </c>
      <c r="H3" s="299" t="s">
        <v>85</v>
      </c>
      <c r="I3" s="445" t="s">
        <v>2</v>
      </c>
      <c r="J3" s="298" t="s">
        <v>144</v>
      </c>
      <c r="K3" s="299" t="s">
        <v>119</v>
      </c>
      <c r="L3" s="299" t="s">
        <v>85</v>
      </c>
      <c r="M3" s="445" t="s">
        <v>2</v>
      </c>
      <c r="N3" s="298" t="s">
        <v>144</v>
      </c>
      <c r="O3" s="299" t="s">
        <v>119</v>
      </c>
      <c r="P3" s="299" t="s">
        <v>85</v>
      </c>
      <c r="Q3" s="445" t="s">
        <v>2</v>
      </c>
    </row>
    <row r="4" spans="1:17" ht="13">
      <c r="A4" s="374"/>
      <c r="B4" s="104"/>
      <c r="C4" s="8"/>
      <c r="D4" s="8"/>
      <c r="E4" s="8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 ht="13">
      <c r="A5" s="117"/>
      <c r="B5" s="104"/>
      <c r="C5" s="8"/>
      <c r="D5" s="8"/>
      <c r="E5" s="8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 ht="13">
      <c r="A6" s="117" t="s">
        <v>49</v>
      </c>
      <c r="B6" s="114"/>
      <c r="C6" s="30"/>
      <c r="D6" s="30"/>
      <c r="E6" s="3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 ht="13">
      <c r="A7" s="375"/>
      <c r="B7" s="114"/>
      <c r="C7" s="30"/>
      <c r="D7" s="30"/>
      <c r="E7" s="3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 ht="13">
      <c r="A8" s="117" t="s">
        <v>53</v>
      </c>
      <c r="B8" s="115">
        <f>'Sch AL-TOU TSM Summary'!B8*Inputs!$C$12</f>
        <v>13032.398113414789</v>
      </c>
      <c r="C8" s="134">
        <f>'Sch AL-TOU TSM Summary'!C8*Inputs!$C$12</f>
        <v>29025.826044130255</v>
      </c>
      <c r="D8" s="134"/>
      <c r="E8" s="134">
        <f>'Sch AL-TOU TSM Summary'!E8*Inputs!$C$12</f>
        <v>13489.921549243711</v>
      </c>
      <c r="F8" s="115">
        <f>'Sch AL-TOU TSM Summary'!F8*Inputs!$C$12</f>
        <v>0</v>
      </c>
      <c r="G8" s="134">
        <f>'Sch AL-TOU TSM Summary'!G8*Inputs!$C$12</f>
        <v>0</v>
      </c>
      <c r="H8" s="134"/>
      <c r="I8" s="44">
        <f>'Sch AL-TOU TSM Summary'!I8*Inputs!$C$12</f>
        <v>0</v>
      </c>
      <c r="J8" s="115"/>
      <c r="K8" s="134"/>
      <c r="L8" s="134"/>
      <c r="M8" s="44"/>
      <c r="N8" s="115">
        <f>'Sch AL-TOU TSM Summary'!N8*Inputs!$C$12</f>
        <v>12473.41044923646</v>
      </c>
      <c r="O8" s="134">
        <f>'Sch AL-TOU TSM Summary'!O8*Inputs!$C$12</f>
        <v>20230.121182272604</v>
      </c>
      <c r="P8" s="134"/>
      <c r="Q8" s="44">
        <f>'Sch AL-TOU TSM Summary'!Q8*Inputs!$C$12</f>
        <v>12774.908039566484</v>
      </c>
    </row>
    <row r="9" spans="1:17" ht="13">
      <c r="A9" s="117" t="s">
        <v>51</v>
      </c>
      <c r="B9" s="115">
        <f>'Sch AL-TOU TSM Summary'!B9*Inputs!$C$12</f>
        <v>2618.5266903955712</v>
      </c>
      <c r="C9" s="134">
        <f>'Sch AL-TOU TSM Summary'!C9*Inputs!$C$12</f>
        <v>7339.0235124778001</v>
      </c>
      <c r="D9" s="134"/>
      <c r="E9" s="134">
        <f>'Sch AL-TOU TSM Summary'!E9*Inputs!$C$12</f>
        <v>2753.5657785894655</v>
      </c>
      <c r="F9" s="115">
        <f>'Sch AL-TOU TSM Summary'!F9*Inputs!$C$12</f>
        <v>3396.4220443713425</v>
      </c>
      <c r="G9" s="134">
        <f>'Sch AL-TOU TSM Summary'!G9*Inputs!$C$12</f>
        <v>3396.4220443713421</v>
      </c>
      <c r="H9" s="134"/>
      <c r="I9" s="44">
        <f>'Sch AL-TOU TSM Summary'!I9*Inputs!$C$12</f>
        <v>3396.422044371343</v>
      </c>
      <c r="J9" s="115"/>
      <c r="K9" s="134"/>
      <c r="L9" s="134"/>
      <c r="M9" s="44"/>
      <c r="N9" s="115">
        <f>'Sch AL-TOU TSM Summary'!N9*Inputs!$C$12</f>
        <v>2651.8922999411006</v>
      </c>
      <c r="O9" s="134">
        <f>'Sch AL-TOU TSM Summary'!O9*Inputs!$C$12</f>
        <v>6144.295794869784</v>
      </c>
      <c r="P9" s="134"/>
      <c r="Q9" s="44">
        <f>'Sch AL-TOU TSM Summary'!Q9*Inputs!$C$12</f>
        <v>2787.6394322528163</v>
      </c>
    </row>
    <row r="10" spans="1:17" ht="13">
      <c r="A10" s="117" t="s">
        <v>52</v>
      </c>
      <c r="B10" s="115">
        <f>'Sch AL-TOU TSM Summary'!B10*Inputs!$C$12</f>
        <v>703.71992046492312</v>
      </c>
      <c r="C10" s="134">
        <f>'Sch AL-TOU TSM Summary'!C10*Inputs!$C$12</f>
        <v>939.38301028660817</v>
      </c>
      <c r="D10" s="134"/>
      <c r="E10" s="134">
        <f>'Sch AL-TOU TSM Summary'!E10*Inputs!$C$12</f>
        <v>710.46152626827995</v>
      </c>
      <c r="F10" s="115">
        <f>'Sch AL-TOU TSM Summary'!F10*Inputs!$C$12</f>
        <v>1040.72508624225</v>
      </c>
      <c r="G10" s="134">
        <f>'Sch AL-TOU TSM Summary'!G10*Inputs!$C$12</f>
        <v>1050.2259058630916</v>
      </c>
      <c r="H10" s="134"/>
      <c r="I10" s="44">
        <f>'Sch AL-TOU TSM Summary'!I10*Inputs!$C$12</f>
        <v>1042.8363794913255</v>
      </c>
      <c r="J10" s="115"/>
      <c r="K10" s="134"/>
      <c r="L10" s="134"/>
      <c r="M10" s="44"/>
      <c r="N10" s="115">
        <f>'Sch AL-TOU TSM Summary'!N10*Inputs!$C$12</f>
        <v>718.17479889899971</v>
      </c>
      <c r="O10" s="134">
        <f>'Sch AL-TOU TSM Summary'!O10*Inputs!$C$12</f>
        <v>972.97176652190615</v>
      </c>
      <c r="P10" s="134"/>
      <c r="Q10" s="44">
        <f>'Sch AL-TOU TSM Summary'!Q10*Inputs!$C$12</f>
        <v>728.07856795854718</v>
      </c>
    </row>
    <row r="11" spans="1:17" ht="13">
      <c r="A11" s="376"/>
      <c r="B11" s="114"/>
      <c r="C11" s="30"/>
      <c r="D11" s="30"/>
      <c r="E11" s="3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 ht="13">
      <c r="A12" s="117" t="s">
        <v>35</v>
      </c>
      <c r="B12" s="114">
        <f t="shared" ref="B12:Q12" si="0">SUM(B8:B10)</f>
        <v>16354.644724275282</v>
      </c>
      <c r="C12" s="30">
        <f t="shared" si="0"/>
        <v>37304.232566894658</v>
      </c>
      <c r="D12" s="30"/>
      <c r="E12" s="30">
        <f t="shared" si="0"/>
        <v>16953.948854101454</v>
      </c>
      <c r="F12" s="114">
        <f t="shared" si="0"/>
        <v>4437.1471306135927</v>
      </c>
      <c r="G12" s="30">
        <f t="shared" si="0"/>
        <v>4446.6479502344337</v>
      </c>
      <c r="H12" s="30"/>
      <c r="I12" s="40">
        <f t="shared" si="0"/>
        <v>4439.2584238626687</v>
      </c>
      <c r="J12" s="114"/>
      <c r="K12" s="30"/>
      <c r="L12" s="30"/>
      <c r="M12" s="40"/>
      <c r="N12" s="114">
        <f t="shared" si="0"/>
        <v>15843.47754807656</v>
      </c>
      <c r="O12" s="30">
        <f t="shared" si="0"/>
        <v>27347.388743664294</v>
      </c>
      <c r="P12" s="30"/>
      <c r="Q12" s="40">
        <f t="shared" si="0"/>
        <v>16290.626039777848</v>
      </c>
    </row>
    <row r="13" spans="1:17" ht="13">
      <c r="A13" s="376"/>
      <c r="B13" s="114"/>
      <c r="C13" s="30"/>
      <c r="D13" s="30"/>
      <c r="E13" s="3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 ht="13">
      <c r="A14" s="117" t="s">
        <v>61</v>
      </c>
      <c r="B14" s="114"/>
      <c r="C14" s="30"/>
      <c r="D14" s="30"/>
      <c r="E14" s="3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 ht="13">
      <c r="A15" s="377">
        <f>Inputs!C3</f>
        <v>2.9094935671404847E-2</v>
      </c>
      <c r="B15" s="114"/>
      <c r="C15" s="30"/>
      <c r="D15" s="30"/>
      <c r="E15" s="3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 ht="13">
      <c r="A16" s="36" t="s">
        <v>60</v>
      </c>
      <c r="B16" s="114"/>
      <c r="C16" s="30"/>
      <c r="D16" s="30"/>
      <c r="E16" s="3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 ht="13">
      <c r="A17" s="47">
        <f>Inputs!C4</f>
        <v>1.99475E-2</v>
      </c>
      <c r="B17" s="114"/>
      <c r="C17" s="30"/>
      <c r="D17" s="30"/>
      <c r="E17" s="3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 ht="13">
      <c r="A18" s="378" t="s">
        <v>92</v>
      </c>
      <c r="B18" s="114">
        <f t="shared" ref="B18:E20" si="1">(B8*(1+$A$15)*(1+$A$17))</f>
        <v>13679.102288449949</v>
      </c>
      <c r="C18" s="30">
        <f t="shared" si="1"/>
        <v>30466.169005051732</v>
      </c>
      <c r="D18" s="30"/>
      <c r="E18" s="30">
        <f t="shared" si="1"/>
        <v>14159.32932138756</v>
      </c>
      <c r="F18" s="114">
        <f t="shared" ref="F18:Q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13092.376087352221</v>
      </c>
      <c r="O18" s="30">
        <f t="shared" si="2"/>
        <v>21233.996579278482</v>
      </c>
      <c r="P18" s="30"/>
      <c r="Q18" s="40">
        <f t="shared" si="2"/>
        <v>13408.834834388221</v>
      </c>
    </row>
    <row r="19" spans="1:17" ht="13">
      <c r="A19" s="378" t="s">
        <v>51</v>
      </c>
      <c r="B19" s="114">
        <f t="shared" si="1"/>
        <v>2748.4653347174262</v>
      </c>
      <c r="C19" s="30">
        <f t="shared" si="1"/>
        <v>7703.2064590772579</v>
      </c>
      <c r="D19" s="30"/>
      <c r="E19" s="30">
        <f t="shared" si="1"/>
        <v>2890.2054415088137</v>
      </c>
      <c r="F19" s="114">
        <f t="shared" ref="F19:Q19" si="3">(F9*(1+$A$15)*(1+$A$17))</f>
        <v>3564.9620396324967</v>
      </c>
      <c r="G19" s="30">
        <f t="shared" si="3"/>
        <v>3564.9620396324963</v>
      </c>
      <c r="H19" s="30"/>
      <c r="I19" s="40">
        <f t="shared" si="3"/>
        <v>3564.9620396324972</v>
      </c>
      <c r="J19" s="114"/>
      <c r="K19" s="30"/>
      <c r="L19" s="30"/>
      <c r="M19" s="40"/>
      <c r="N19" s="114">
        <f t="shared" si="3"/>
        <v>2783.4866394625578</v>
      </c>
      <c r="O19" s="30">
        <f t="shared" si="3"/>
        <v>6449.1929986394516</v>
      </c>
      <c r="P19" s="30"/>
      <c r="Q19" s="40">
        <f t="shared" si="3"/>
        <v>2925.9699255083028</v>
      </c>
    </row>
    <row r="20" spans="1:17" ht="13">
      <c r="A20" s="378" t="s">
        <v>52</v>
      </c>
      <c r="B20" s="114">
        <f t="shared" si="1"/>
        <v>738.64047819033715</v>
      </c>
      <c r="C20" s="30">
        <f t="shared" si="1"/>
        <v>985.99783201186824</v>
      </c>
      <c r="D20" s="30"/>
      <c r="E20" s="30">
        <f t="shared" si="1"/>
        <v>745.71662139667455</v>
      </c>
      <c r="F20" s="114">
        <f t="shared" ref="F20:Q20" si="4">(F10*(1+$A$15)*(1+$A$17))</f>
        <v>1092.3687862335739</v>
      </c>
      <c r="G20" s="30">
        <f t="shared" si="4"/>
        <v>1102.3410631918593</v>
      </c>
      <c r="H20" s="30"/>
      <c r="I20" s="40">
        <f t="shared" si="4"/>
        <v>1094.584847779859</v>
      </c>
      <c r="J20" s="114"/>
      <c r="K20" s="30"/>
      <c r="L20" s="30"/>
      <c r="M20" s="40"/>
      <c r="N20" s="114">
        <f t="shared" si="4"/>
        <v>753.81264826572112</v>
      </c>
      <c r="O20" s="30">
        <f t="shared" si="4"/>
        <v>1021.2533566118656</v>
      </c>
      <c r="P20" s="30"/>
      <c r="Q20" s="40">
        <f t="shared" si="4"/>
        <v>764.20787014489963</v>
      </c>
    </row>
    <row r="21" spans="1:17" ht="13">
      <c r="A21" s="117"/>
      <c r="B21" s="119"/>
      <c r="C21" s="73"/>
      <c r="D21" s="73"/>
      <c r="E21" s="73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 ht="13">
      <c r="A22" s="117" t="s">
        <v>35</v>
      </c>
      <c r="B22" s="119">
        <f t="shared" ref="B22:I22" si="5">B18+B19+B20</f>
        <v>17166.208101357712</v>
      </c>
      <c r="C22" s="73">
        <f t="shared" si="5"/>
        <v>39155.37329614086</v>
      </c>
      <c r="D22" s="73"/>
      <c r="E22" s="73">
        <f t="shared" si="5"/>
        <v>17795.251384293049</v>
      </c>
      <c r="F22" s="119">
        <f t="shared" si="5"/>
        <v>4657.3308258660709</v>
      </c>
      <c r="G22" s="73">
        <f t="shared" si="5"/>
        <v>4667.3031028243558</v>
      </c>
      <c r="H22" s="73"/>
      <c r="I22" s="75">
        <f t="shared" si="5"/>
        <v>4659.5468874123562</v>
      </c>
      <c r="J22" s="119"/>
      <c r="K22" s="73"/>
      <c r="L22" s="73"/>
      <c r="M22" s="75"/>
      <c r="N22" s="119">
        <f t="shared" ref="N22:Q22" si="6">N18+N19+N20</f>
        <v>16629.6753750805</v>
      </c>
      <c r="O22" s="73">
        <f t="shared" si="6"/>
        <v>28704.442934529798</v>
      </c>
      <c r="P22" s="73"/>
      <c r="Q22" s="75">
        <f t="shared" si="6"/>
        <v>17099.012630041423</v>
      </c>
    </row>
    <row r="23" spans="1:17" ht="13">
      <c r="A23" s="117"/>
      <c r="B23" s="114"/>
      <c r="C23" s="30"/>
      <c r="D23" s="30"/>
      <c r="E23" s="3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 ht="13">
      <c r="A24" s="378" t="str">
        <f>'Resid TSM Sum by Rate Schedule'!A25</f>
        <v>Annualized Transformer Cost at 8.05%</v>
      </c>
      <c r="B24" s="119">
        <f>B18*Inputs!$C$5</f>
        <v>1100.8758568337962</v>
      </c>
      <c r="C24" s="73">
        <f>C18*Inputs!$C$5</f>
        <v>2451.8765340470386</v>
      </c>
      <c r="D24" s="73"/>
      <c r="E24" s="73">
        <f>E18*Inputs!$C$5</f>
        <v>1139.5238861570606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1053.6569168960723</v>
      </c>
      <c r="O24" s="73">
        <f>O18*Inputs!$C$5</f>
        <v>1708.8836449418754</v>
      </c>
      <c r="P24" s="73"/>
      <c r="Q24" s="75">
        <f>Q18*Inputs!$C$5</f>
        <v>1079.1250936045662</v>
      </c>
    </row>
    <row r="25" spans="1:17" ht="13">
      <c r="A25" s="378" t="str">
        <f>'Resid TSM Sum by Rate Schedule'!A26</f>
        <v>Annualized Services Cost at 7.08%</v>
      </c>
      <c r="B25" s="119">
        <f>B19*Inputs!$C$6</f>
        <v>194.52279881240565</v>
      </c>
      <c r="C25" s="73">
        <f>C19*Inputs!$C$6</f>
        <v>545.19489888475061</v>
      </c>
      <c r="D25" s="73"/>
      <c r="E25" s="73">
        <f>E19*Inputs!$C$6</f>
        <v>204.55446336671397</v>
      </c>
      <c r="F25" s="119">
        <f>F19*Inputs!$C$6</f>
        <v>252.31040204499863</v>
      </c>
      <c r="G25" s="73">
        <f>G19*Inputs!$C$6</f>
        <v>252.3104020449986</v>
      </c>
      <c r="H25" s="73"/>
      <c r="I25" s="75">
        <f>I19*Inputs!$C$6</f>
        <v>252.31040204499865</v>
      </c>
      <c r="J25" s="119"/>
      <c r="K25" s="73"/>
      <c r="L25" s="73"/>
      <c r="M25" s="75"/>
      <c r="N25" s="119">
        <f>N19*Inputs!$C$6</f>
        <v>197.00143375498013</v>
      </c>
      <c r="O25" s="73">
        <f>O19*Inputs!$C$6</f>
        <v>456.44202105452268</v>
      </c>
      <c r="P25" s="73"/>
      <c r="Q25" s="75">
        <f>Q19*Inputs!$C$6</f>
        <v>207.08569686556305</v>
      </c>
    </row>
    <row r="26" spans="1:17" ht="16">
      <c r="A26" s="378" t="str">
        <f>'Resid TSM Sum by Rate Schedule'!A27</f>
        <v>Annualized Meter Cost at 10.78%</v>
      </c>
      <c r="B26" s="459">
        <f>B20*Inputs!$C$7</f>
        <v>79.60066167816619</v>
      </c>
      <c r="C26" s="458">
        <f>C20*Inputs!$C$7</f>
        <v>106.25748541925606</v>
      </c>
      <c r="D26" s="458"/>
      <c r="E26" s="458">
        <f>E20*Inputs!$C$7</f>
        <v>80.363232506580459</v>
      </c>
      <c r="F26" s="459">
        <f>F20*Inputs!$C$7</f>
        <v>117.72070546932731</v>
      </c>
      <c r="G26" s="458">
        <f>G20*Inputs!$C$7</f>
        <v>118.79538234902155</v>
      </c>
      <c r="H26" s="458"/>
      <c r="I26" s="457">
        <f>I20*Inputs!$C$7</f>
        <v>117.95952255370376</v>
      </c>
      <c r="J26" s="459"/>
      <c r="K26" s="458"/>
      <c r="L26" s="458"/>
      <c r="M26" s="457"/>
      <c r="N26" s="459">
        <f>N20*Inputs!$C$7</f>
        <v>81.235712576071393</v>
      </c>
      <c r="O26" s="458">
        <f>O20*Inputs!$C$7</f>
        <v>110.05684812524561</v>
      </c>
      <c r="P26" s="458"/>
      <c r="Q26" s="457">
        <f>Q20*Inputs!$C$7</f>
        <v>82.355968728159411</v>
      </c>
    </row>
    <row r="27" spans="1:17" ht="13">
      <c r="A27" s="453" t="s">
        <v>275</v>
      </c>
      <c r="B27" s="119">
        <f>SUM(B24:B26)</f>
        <v>1374.9993173243681</v>
      </c>
      <c r="C27" s="73">
        <f t="shared" ref="C27:Q27" si="7">SUM(C24:C26)</f>
        <v>3103.3289183510456</v>
      </c>
      <c r="D27" s="73"/>
      <c r="E27" s="73">
        <f t="shared" si="7"/>
        <v>1424.441582030355</v>
      </c>
      <c r="F27" s="119">
        <f t="shared" si="7"/>
        <v>370.03110751432592</v>
      </c>
      <c r="G27" s="73">
        <f t="shared" si="7"/>
        <v>371.10578439402013</v>
      </c>
      <c r="H27" s="73"/>
      <c r="I27" s="75">
        <f t="shared" si="7"/>
        <v>370.2699245987024</v>
      </c>
      <c r="J27" s="119"/>
      <c r="K27" s="73"/>
      <c r="L27" s="73"/>
      <c r="M27" s="75"/>
      <c r="N27" s="119">
        <f t="shared" si="7"/>
        <v>1331.8940632271238</v>
      </c>
      <c r="O27" s="73">
        <f t="shared" si="7"/>
        <v>2275.3825141216439</v>
      </c>
      <c r="P27" s="73"/>
      <c r="Q27" s="75">
        <f t="shared" si="7"/>
        <v>1368.5667591982888</v>
      </c>
    </row>
    <row r="28" spans="1:17" ht="13">
      <c r="A28" s="377"/>
      <c r="B28" s="114"/>
      <c r="C28" s="30"/>
      <c r="D28" s="30"/>
      <c r="E28" s="3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 ht="13">
      <c r="A29" s="36" t="s">
        <v>50</v>
      </c>
      <c r="B29" s="114">
        <f>'Sch AL-TOU TSM Summary'!B$29*Inputs!$C$13</f>
        <v>178.76465360239382</v>
      </c>
      <c r="C29" s="30">
        <f>'Sch AL-TOU TSM Summary'!C$29*Inputs!$C$13</f>
        <v>178.76465360239382</v>
      </c>
      <c r="D29" s="30"/>
      <c r="E29" s="30">
        <f>'Sch AL-TOU TSM Summary'!E$29*Inputs!$C$13</f>
        <v>178.76465360239382</v>
      </c>
      <c r="F29" s="114">
        <f>'Sch AL-TOU TSM Summary'!F$29*Inputs!$C$13</f>
        <v>46.808121295077363</v>
      </c>
      <c r="G29" s="30">
        <f>'Sch AL-TOU TSM Summary'!G$29*Inputs!$C$13</f>
        <v>46.808121295077363</v>
      </c>
      <c r="H29" s="30"/>
      <c r="I29" s="40">
        <f>'Sch AL-TOU TSM Summary'!I$29*Inputs!$C$13</f>
        <v>46.808121295077363</v>
      </c>
      <c r="J29" s="114"/>
      <c r="K29" s="30"/>
      <c r="L29" s="30"/>
      <c r="M29" s="40"/>
      <c r="N29" s="114">
        <f>'Sch AL-TOU TSM Summary'!N$29*Inputs!$C$13</f>
        <v>171.77049111260675</v>
      </c>
      <c r="O29" s="30">
        <f>'Sch AL-TOU TSM Summary'!O$29*Inputs!$C$13</f>
        <v>171.77049111260675</v>
      </c>
      <c r="P29" s="30"/>
      <c r="Q29" s="40">
        <f>'Sch AL-TOU TSM Summary'!Q$29*Inputs!$C$13</f>
        <v>171.77049111260675</v>
      </c>
    </row>
    <row r="30" spans="1:17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5"/>
      <c r="E30" s="545">
        <f>-Inputs!$C$18</f>
        <v>-3.0284021924274875</v>
      </c>
      <c r="F30" s="546">
        <f>-Inputs!$C$18</f>
        <v>-3.0284021924274875</v>
      </c>
      <c r="G30" s="545">
        <f>-Inputs!$C$18</f>
        <v>-3.0284021924274875</v>
      </c>
      <c r="H30" s="545"/>
      <c r="I30" s="547">
        <f>-Inputs!$C$18</f>
        <v>-3.0284021924274875</v>
      </c>
      <c r="J30" s="546"/>
      <c r="K30" s="545"/>
      <c r="L30" s="545"/>
      <c r="M30" s="547"/>
      <c r="N30" s="546">
        <f>-Inputs!$C$18</f>
        <v>-3.0284021924274875</v>
      </c>
      <c r="O30" s="545">
        <f>-Inputs!$C$18</f>
        <v>-3.0284021924274875</v>
      </c>
      <c r="P30" s="545"/>
      <c r="Q30" s="547">
        <f>-Inputs!$C$18</f>
        <v>-3.0284021924274875</v>
      </c>
    </row>
    <row r="31" spans="1:17" ht="13">
      <c r="A31" s="36" t="s">
        <v>328</v>
      </c>
      <c r="B31" s="114">
        <f>B29+B30</f>
        <v>175.73625140996634</v>
      </c>
      <c r="C31" s="30">
        <f>C29+C30</f>
        <v>175.73625140996634</v>
      </c>
      <c r="D31" s="30"/>
      <c r="E31" s="30">
        <f t="shared" ref="E31:Q31" si="8">E29+E30</f>
        <v>175.73625140996634</v>
      </c>
      <c r="F31" s="114">
        <f t="shared" si="8"/>
        <v>43.779719102649878</v>
      </c>
      <c r="G31" s="30">
        <f t="shared" si="8"/>
        <v>43.779719102649878</v>
      </c>
      <c r="H31" s="30"/>
      <c r="I31" s="40">
        <f t="shared" si="8"/>
        <v>43.779719102649878</v>
      </c>
      <c r="J31" s="114"/>
      <c r="K31" s="30"/>
      <c r="L31" s="30"/>
      <c r="M31" s="40"/>
      <c r="N31" s="114">
        <f t="shared" si="8"/>
        <v>168.74208892017927</v>
      </c>
      <c r="O31" s="30">
        <f t="shared" si="8"/>
        <v>168.74208892017927</v>
      </c>
      <c r="P31" s="30"/>
      <c r="Q31" s="40">
        <f t="shared" si="8"/>
        <v>168.74208892017927</v>
      </c>
    </row>
    <row r="32" spans="1:17" ht="13">
      <c r="A32" s="118"/>
      <c r="B32" s="10"/>
      <c r="C32" s="27"/>
      <c r="D32" s="27"/>
      <c r="E32" s="27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 ht="13">
      <c r="A33" s="117" t="s">
        <v>57</v>
      </c>
      <c r="B33" s="161">
        <f>'Sch AL-TOU TSM Summary'!B31*Inputs!$C$14</f>
        <v>481.55031066335573</v>
      </c>
      <c r="C33" s="162">
        <f>'Sch AL-TOU TSM Summary'!C31*Inputs!$C$14</f>
        <v>481.55031066335573</v>
      </c>
      <c r="D33" s="162"/>
      <c r="E33" s="162">
        <f>'Sch AL-TOU TSM Summary'!E31*Inputs!$C$14</f>
        <v>481.55031066335573</v>
      </c>
      <c r="F33" s="161">
        <f>'Sch AL-TOU TSM Summary'!F31*Inputs!$C$14</f>
        <v>481.55031066335573</v>
      </c>
      <c r="G33" s="162">
        <f>'Sch AL-TOU TSM Summary'!G31*Inputs!$C$14</f>
        <v>481.55031066335573</v>
      </c>
      <c r="H33" s="162"/>
      <c r="I33" s="290">
        <f>'Sch AL-TOU TSM Summary'!I31*Inputs!$C$14</f>
        <v>481.55031066335573</v>
      </c>
      <c r="J33" s="161"/>
      <c r="K33" s="162"/>
      <c r="L33" s="162"/>
      <c r="M33" s="290"/>
      <c r="N33" s="161">
        <f>'Sch AL-TOU TSM Summary'!N31*Inputs!$C$14</f>
        <v>481.55031066335573</v>
      </c>
      <c r="O33" s="162">
        <f>'Sch AL-TOU TSM Summary'!O31*Inputs!$C$14</f>
        <v>481.55031066335573</v>
      </c>
      <c r="P33" s="162"/>
      <c r="Q33" s="290">
        <f>'Sch AL-TOU TSM Summary'!Q31*Inputs!$C$14</f>
        <v>481.55031066335573</v>
      </c>
    </row>
    <row r="34" spans="1:17" ht="13.5" thickBot="1">
      <c r="A34" s="118"/>
      <c r="B34" s="114"/>
      <c r="C34" s="30"/>
      <c r="D34" s="30"/>
      <c r="E34" s="30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79" t="s">
        <v>126</v>
      </c>
      <c r="B35" s="279">
        <f t="shared" ref="B35:Q35" si="9">B27+B31+B33</f>
        <v>2032.2858793976902</v>
      </c>
      <c r="C35" s="280">
        <f t="shared" si="9"/>
        <v>3760.6154804243679</v>
      </c>
      <c r="D35" s="280"/>
      <c r="E35" s="291">
        <f t="shared" si="9"/>
        <v>2081.7281441036771</v>
      </c>
      <c r="F35" s="279">
        <f t="shared" si="9"/>
        <v>895.3611372803316</v>
      </c>
      <c r="G35" s="280">
        <f t="shared" si="9"/>
        <v>896.43581416002576</v>
      </c>
      <c r="H35" s="280"/>
      <c r="I35" s="291">
        <f t="shared" si="9"/>
        <v>895.59995436470808</v>
      </c>
      <c r="J35" s="279"/>
      <c r="K35" s="280"/>
      <c r="L35" s="280"/>
      <c r="M35" s="291"/>
      <c r="N35" s="279">
        <f t="shared" si="9"/>
        <v>1982.1864628106587</v>
      </c>
      <c r="O35" s="280">
        <f t="shared" si="9"/>
        <v>2925.6749137051793</v>
      </c>
      <c r="P35" s="280"/>
      <c r="Q35" s="291">
        <f t="shared" si="9"/>
        <v>2018.8591587818237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3">
    <tabColor rgb="FFFFC000"/>
    <pageSetUpPr fitToPage="1"/>
  </sheetPr>
  <dimension ref="A1:I228"/>
  <sheetViews>
    <sheetView zoomScaleNormal="100" workbookViewId="0">
      <pane ySplit="3" topLeftCell="A28" activePane="bottomLeft" state="frozen"/>
      <selection activeCell="D15" sqref="D15"/>
      <selection pane="bottomLeft" activeCell="B49" sqref="B49:H51"/>
    </sheetView>
  </sheetViews>
  <sheetFormatPr defaultRowHeight="12.5"/>
  <cols>
    <col min="1" max="1" width="25" bestFit="1" customWidth="1"/>
    <col min="2" max="2" width="16" bestFit="1" customWidth="1"/>
    <col min="3" max="3" width="15.453125" bestFit="1" customWidth="1"/>
    <col min="4" max="5" width="10.7265625" customWidth="1"/>
    <col min="6" max="7" width="10.54296875" customWidth="1"/>
    <col min="8" max="8" width="12" customWidth="1"/>
    <col min="9" max="9" width="13.1796875" customWidth="1"/>
  </cols>
  <sheetData>
    <row r="1" spans="1:9" ht="18.5" thickBot="1">
      <c r="A1" s="750" t="s">
        <v>146</v>
      </c>
      <c r="B1" s="750"/>
      <c r="C1" s="750"/>
      <c r="D1" s="750"/>
      <c r="E1" s="750"/>
      <c r="F1" s="750"/>
      <c r="G1" s="750"/>
      <c r="H1" s="750"/>
    </row>
    <row r="2" spans="1:9" ht="13.5" thickBot="1">
      <c r="A2" s="103"/>
      <c r="B2" s="736" t="s">
        <v>0</v>
      </c>
      <c r="C2" s="737"/>
      <c r="D2" s="737"/>
      <c r="E2" s="737"/>
      <c r="F2" s="738"/>
      <c r="G2" s="230"/>
      <c r="H2" s="103"/>
    </row>
    <row r="3" spans="1:9" ht="13.5" thickBot="1">
      <c r="A3" s="77" t="s">
        <v>4</v>
      </c>
      <c r="B3" s="74" t="s">
        <v>116</v>
      </c>
      <c r="C3" s="26" t="s">
        <v>95</v>
      </c>
      <c r="D3" s="26" t="s">
        <v>33</v>
      </c>
      <c r="E3" s="26" t="s">
        <v>34</v>
      </c>
      <c r="F3" s="234" t="s">
        <v>208</v>
      </c>
      <c r="G3" s="233" t="s">
        <v>1</v>
      </c>
      <c r="H3" s="77" t="s">
        <v>2</v>
      </c>
    </row>
    <row r="4" spans="1:9" ht="13">
      <c r="A4" s="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6" t="s">
        <v>45</v>
      </c>
      <c r="H4" s="105" t="s">
        <v>45</v>
      </c>
    </row>
    <row r="5" spans="1:9" ht="13">
      <c r="A5" s="104"/>
      <c r="B5" s="104"/>
      <c r="C5" s="8"/>
      <c r="D5" s="8"/>
      <c r="E5" s="8"/>
      <c r="F5" s="9"/>
      <c r="G5" s="8"/>
      <c r="H5" s="106"/>
    </row>
    <row r="6" spans="1:9" ht="13">
      <c r="A6" s="21" t="s">
        <v>5</v>
      </c>
      <c r="B6" s="435"/>
      <c r="C6" s="436"/>
      <c r="D6" s="436"/>
      <c r="E6" s="436"/>
      <c r="F6" s="185"/>
      <c r="G6" s="435"/>
      <c r="H6" s="219"/>
    </row>
    <row r="7" spans="1:9" ht="13">
      <c r="A7" s="20" t="s">
        <v>6</v>
      </c>
      <c r="B7" s="435"/>
      <c r="C7" s="436"/>
      <c r="D7" s="436"/>
      <c r="E7" s="436"/>
      <c r="F7" s="185"/>
      <c r="G7" s="435"/>
      <c r="H7" s="219"/>
    </row>
    <row r="8" spans="1:9" ht="13">
      <c r="A8" s="22" t="s">
        <v>7</v>
      </c>
      <c r="B8" s="435"/>
      <c r="C8" s="436"/>
      <c r="D8" s="436"/>
      <c r="E8" s="436"/>
      <c r="F8" s="185"/>
      <c r="G8" s="435"/>
      <c r="H8" s="219"/>
    </row>
    <row r="9" spans="1:9" ht="13">
      <c r="A9" s="22" t="s">
        <v>105</v>
      </c>
      <c r="B9" s="435">
        <v>0</v>
      </c>
      <c r="C9" s="436">
        <v>0</v>
      </c>
      <c r="D9" s="436">
        <v>1</v>
      </c>
      <c r="E9" s="436">
        <v>0</v>
      </c>
      <c r="F9" s="185">
        <f t="shared" ref="F9:F22" si="0">SUM(B9:E9)</f>
        <v>1</v>
      </c>
      <c r="G9" s="436">
        <v>0</v>
      </c>
      <c r="H9" s="219">
        <f t="shared" ref="H9:H24" si="1">F9+G9</f>
        <v>1</v>
      </c>
    </row>
    <row r="10" spans="1:9" ht="13">
      <c r="A10" s="22" t="s">
        <v>97</v>
      </c>
      <c r="B10" s="435"/>
      <c r="C10" s="436"/>
      <c r="D10" s="436"/>
      <c r="E10" s="436"/>
      <c r="F10" s="185"/>
      <c r="G10" s="436"/>
      <c r="H10" s="219"/>
    </row>
    <row r="11" spans="1:9" ht="13">
      <c r="A11" s="22" t="s">
        <v>8</v>
      </c>
      <c r="B11" s="435">
        <v>1</v>
      </c>
      <c r="C11" s="436">
        <v>0</v>
      </c>
      <c r="D11" s="436">
        <v>3</v>
      </c>
      <c r="E11" s="436">
        <v>0</v>
      </c>
      <c r="F11" s="185">
        <f t="shared" si="0"/>
        <v>4</v>
      </c>
      <c r="G11" s="436">
        <v>0</v>
      </c>
      <c r="H11" s="219">
        <f t="shared" si="1"/>
        <v>4</v>
      </c>
    </row>
    <row r="12" spans="1:9" ht="13">
      <c r="A12" s="22" t="s">
        <v>9</v>
      </c>
      <c r="B12" s="435">
        <v>1</v>
      </c>
      <c r="C12" s="436">
        <v>0</v>
      </c>
      <c r="D12" s="436">
        <v>4</v>
      </c>
      <c r="E12" s="436">
        <v>0</v>
      </c>
      <c r="F12" s="185">
        <f t="shared" si="0"/>
        <v>5</v>
      </c>
      <c r="G12" s="436">
        <v>0</v>
      </c>
      <c r="H12" s="219">
        <f t="shared" si="1"/>
        <v>5</v>
      </c>
      <c r="I12" s="175"/>
    </row>
    <row r="13" spans="1:9" ht="13">
      <c r="A13" s="22" t="s">
        <v>10</v>
      </c>
      <c r="B13" s="435"/>
      <c r="C13" s="436">
        <v>0</v>
      </c>
      <c r="D13" s="436">
        <v>5</v>
      </c>
      <c r="E13" s="436">
        <v>5</v>
      </c>
      <c r="F13" s="185">
        <f t="shared" si="0"/>
        <v>10</v>
      </c>
      <c r="G13" s="436">
        <v>0</v>
      </c>
      <c r="H13" s="219">
        <f t="shared" si="1"/>
        <v>10</v>
      </c>
    </row>
    <row r="14" spans="1:9" ht="13">
      <c r="A14" s="22" t="s">
        <v>11</v>
      </c>
      <c r="B14" s="435"/>
      <c r="C14" s="436">
        <v>1</v>
      </c>
      <c r="D14" s="436">
        <v>3</v>
      </c>
      <c r="E14" s="436">
        <v>15</v>
      </c>
      <c r="F14" s="185">
        <f t="shared" si="0"/>
        <v>19</v>
      </c>
      <c r="G14" s="436">
        <v>2</v>
      </c>
      <c r="H14" s="219">
        <f t="shared" si="1"/>
        <v>21</v>
      </c>
      <c r="I14" s="175"/>
    </row>
    <row r="15" spans="1:9" ht="13">
      <c r="A15" s="22" t="s">
        <v>101</v>
      </c>
      <c r="B15" s="435"/>
      <c r="C15" s="436"/>
      <c r="D15" s="436">
        <v>6</v>
      </c>
      <c r="E15" s="436">
        <v>11</v>
      </c>
      <c r="F15" s="185">
        <f t="shared" si="0"/>
        <v>17</v>
      </c>
      <c r="G15" s="436">
        <v>1</v>
      </c>
      <c r="H15" s="219">
        <f t="shared" si="1"/>
        <v>18</v>
      </c>
    </row>
    <row r="16" spans="1:9" ht="13">
      <c r="A16" s="22" t="s">
        <v>102</v>
      </c>
      <c r="B16" s="435"/>
      <c r="C16" s="436"/>
      <c r="D16" s="436">
        <v>1</v>
      </c>
      <c r="E16" s="436">
        <v>15</v>
      </c>
      <c r="F16" s="185">
        <f t="shared" si="0"/>
        <v>16</v>
      </c>
      <c r="G16" s="436">
        <v>0</v>
      </c>
      <c r="H16" s="219">
        <f t="shared" si="1"/>
        <v>16</v>
      </c>
    </row>
    <row r="17" spans="1:8" ht="13">
      <c r="A17" s="22" t="s">
        <v>12</v>
      </c>
      <c r="B17" s="435"/>
      <c r="C17" s="436"/>
      <c r="D17" s="436">
        <v>2</v>
      </c>
      <c r="E17" s="436">
        <v>14</v>
      </c>
      <c r="F17" s="185">
        <f t="shared" si="0"/>
        <v>16</v>
      </c>
      <c r="G17" s="436">
        <v>3</v>
      </c>
      <c r="H17" s="219">
        <f t="shared" si="1"/>
        <v>19</v>
      </c>
    </row>
    <row r="18" spans="1:8" ht="13">
      <c r="A18" s="22" t="s">
        <v>13</v>
      </c>
      <c r="B18" s="435"/>
      <c r="C18" s="436"/>
      <c r="D18" s="436"/>
      <c r="E18" s="436">
        <v>8</v>
      </c>
      <c r="F18" s="185">
        <f t="shared" si="0"/>
        <v>8</v>
      </c>
      <c r="G18" s="436">
        <v>0</v>
      </c>
      <c r="H18" s="219">
        <f t="shared" si="1"/>
        <v>8</v>
      </c>
    </row>
    <row r="19" spans="1:8" ht="13">
      <c r="A19" s="22" t="s">
        <v>103</v>
      </c>
      <c r="B19" s="435"/>
      <c r="C19" s="436"/>
      <c r="D19" s="436"/>
      <c r="E19" s="436">
        <v>3</v>
      </c>
      <c r="F19" s="185">
        <f t="shared" si="0"/>
        <v>3</v>
      </c>
      <c r="G19" s="436">
        <v>1</v>
      </c>
      <c r="H19" s="219">
        <f t="shared" si="1"/>
        <v>4</v>
      </c>
    </row>
    <row r="20" spans="1:8" s="52" customFormat="1" ht="13">
      <c r="A20" s="22" t="s">
        <v>104</v>
      </c>
      <c r="B20" s="435"/>
      <c r="C20" s="436"/>
      <c r="D20" s="436"/>
      <c r="E20" s="436">
        <v>1</v>
      </c>
      <c r="F20" s="185">
        <f t="shared" si="0"/>
        <v>1</v>
      </c>
      <c r="G20" s="436">
        <v>0</v>
      </c>
      <c r="H20" s="219">
        <f t="shared" si="1"/>
        <v>1</v>
      </c>
    </row>
    <row r="21" spans="1:8" ht="13">
      <c r="A21" s="22" t="s">
        <v>14</v>
      </c>
      <c r="B21" s="435"/>
      <c r="C21" s="436"/>
      <c r="D21" s="436"/>
      <c r="E21" s="436">
        <v>1</v>
      </c>
      <c r="F21" s="185">
        <f t="shared" si="0"/>
        <v>1</v>
      </c>
      <c r="G21" s="436">
        <v>3</v>
      </c>
      <c r="H21" s="219">
        <f t="shared" si="1"/>
        <v>4</v>
      </c>
    </row>
    <row r="22" spans="1:8" ht="13">
      <c r="A22" s="22" t="s">
        <v>15</v>
      </c>
      <c r="B22" s="435"/>
      <c r="C22" s="436"/>
      <c r="D22" s="436"/>
      <c r="E22" s="436">
        <v>1</v>
      </c>
      <c r="F22" s="185">
        <f t="shared" si="0"/>
        <v>1</v>
      </c>
      <c r="G22" s="436">
        <v>2</v>
      </c>
      <c r="H22" s="219">
        <f t="shared" si="1"/>
        <v>3</v>
      </c>
    </row>
    <row r="23" spans="1:8" ht="13">
      <c r="A23" s="21" t="s">
        <v>16</v>
      </c>
      <c r="B23" s="435"/>
      <c r="C23" s="436"/>
      <c r="D23" s="436"/>
      <c r="E23" s="436"/>
      <c r="F23" s="185"/>
      <c r="G23" s="436"/>
      <c r="H23" s="219"/>
    </row>
    <row r="24" spans="1:8" ht="13">
      <c r="A24" s="22" t="s">
        <v>17</v>
      </c>
      <c r="B24" s="435"/>
      <c r="C24" s="436"/>
      <c r="D24" s="436"/>
      <c r="E24" s="436"/>
      <c r="F24" s="185"/>
      <c r="G24" s="436">
        <v>1</v>
      </c>
      <c r="H24" s="219">
        <f t="shared" si="1"/>
        <v>1</v>
      </c>
    </row>
    <row r="25" spans="1:8" ht="13">
      <c r="A25" s="22" t="s">
        <v>18</v>
      </c>
      <c r="B25" s="435"/>
      <c r="C25" s="436"/>
      <c r="D25" s="436"/>
      <c r="E25" s="436"/>
      <c r="F25" s="185"/>
      <c r="G25" s="436"/>
      <c r="H25" s="219"/>
    </row>
    <row r="26" spans="1:8" ht="13">
      <c r="A26" s="22" t="s">
        <v>19</v>
      </c>
      <c r="B26" s="435"/>
      <c r="C26" s="436"/>
      <c r="D26" s="436"/>
      <c r="E26" s="436"/>
      <c r="F26" s="185"/>
      <c r="G26" s="436"/>
      <c r="H26" s="219"/>
    </row>
    <row r="27" spans="1:8" ht="13">
      <c r="A27" s="22" t="s">
        <v>20</v>
      </c>
      <c r="B27" s="435"/>
      <c r="C27" s="436"/>
      <c r="D27" s="436"/>
      <c r="E27" s="436"/>
      <c r="F27" s="185"/>
      <c r="G27" s="435"/>
      <c r="H27" s="219"/>
    </row>
    <row r="28" spans="1:8" ht="13">
      <c r="A28" s="22" t="s">
        <v>21</v>
      </c>
      <c r="B28" s="183"/>
      <c r="C28" s="184"/>
      <c r="D28" s="184"/>
      <c r="E28" s="184"/>
      <c r="F28" s="185"/>
      <c r="G28" s="185"/>
      <c r="H28" s="219"/>
    </row>
    <row r="29" spans="1:8" ht="13">
      <c r="A29" s="22" t="s">
        <v>22</v>
      </c>
      <c r="B29" s="183"/>
      <c r="C29" s="184"/>
      <c r="D29" s="184"/>
      <c r="E29" s="184"/>
      <c r="F29" s="209"/>
      <c r="G29" s="209"/>
      <c r="H29" s="186"/>
    </row>
    <row r="30" spans="1:8" ht="13">
      <c r="A30" s="22" t="s">
        <v>23</v>
      </c>
      <c r="B30" s="183"/>
      <c r="C30" s="184"/>
      <c r="D30" s="184"/>
      <c r="E30" s="184"/>
      <c r="F30" s="209"/>
      <c r="G30" s="209"/>
      <c r="H30" s="186"/>
    </row>
    <row r="31" spans="1:8" ht="13">
      <c r="A31" s="22" t="s">
        <v>24</v>
      </c>
      <c r="B31" s="183"/>
      <c r="C31" s="184"/>
      <c r="D31" s="184"/>
      <c r="E31" s="184"/>
      <c r="F31" s="209"/>
      <c r="G31" s="209"/>
      <c r="H31" s="186"/>
    </row>
    <row r="32" spans="1:8" ht="13">
      <c r="A32" s="21" t="s">
        <v>25</v>
      </c>
      <c r="B32" s="183"/>
      <c r="C32" s="184"/>
      <c r="D32" s="184"/>
      <c r="E32" s="184"/>
      <c r="F32" s="209"/>
      <c r="G32" s="209"/>
      <c r="H32" s="186"/>
    </row>
    <row r="33" spans="1:8" ht="13">
      <c r="A33" s="21" t="s">
        <v>106</v>
      </c>
      <c r="B33" s="183"/>
      <c r="C33" s="184"/>
      <c r="D33" s="184"/>
      <c r="E33" s="184"/>
      <c r="F33" s="209"/>
      <c r="G33" s="209"/>
      <c r="H33" s="186"/>
    </row>
    <row r="34" spans="1:8" ht="13">
      <c r="A34" s="21" t="s">
        <v>107</v>
      </c>
      <c r="B34" s="183"/>
      <c r="C34" s="184"/>
      <c r="D34" s="184"/>
      <c r="E34" s="184"/>
      <c r="F34" s="209"/>
      <c r="G34" s="209"/>
      <c r="H34" s="186"/>
    </row>
    <row r="35" spans="1:8" ht="13">
      <c r="A35" s="21" t="s">
        <v>26</v>
      </c>
      <c r="B35" s="183"/>
      <c r="C35" s="184"/>
      <c r="D35" s="184"/>
      <c r="E35" s="184"/>
      <c r="F35" s="209"/>
      <c r="G35" s="209"/>
      <c r="H35" s="186"/>
    </row>
    <row r="36" spans="1:8" ht="13">
      <c r="A36" s="21" t="s">
        <v>27</v>
      </c>
      <c r="B36" s="183"/>
      <c r="C36" s="184"/>
      <c r="D36" s="184"/>
      <c r="E36" s="184"/>
      <c r="F36" s="209"/>
      <c r="G36" s="209"/>
      <c r="H36" s="186"/>
    </row>
    <row r="37" spans="1:8" ht="13.5" thickBot="1">
      <c r="A37" s="21"/>
      <c r="B37" s="205"/>
      <c r="C37" s="206"/>
      <c r="D37" s="206"/>
      <c r="E37" s="206"/>
      <c r="F37" s="210"/>
      <c r="G37" s="210"/>
      <c r="H37" s="227"/>
    </row>
    <row r="38" spans="1:8" ht="13.5" thickBot="1">
      <c r="A38" s="178" t="s">
        <v>2</v>
      </c>
      <c r="B38" s="348">
        <f t="shared" ref="B38:H38" si="2">SUM(B6:B37)</f>
        <v>2</v>
      </c>
      <c r="C38" s="348">
        <f t="shared" si="2"/>
        <v>1</v>
      </c>
      <c r="D38" s="348">
        <f t="shared" si="2"/>
        <v>25</v>
      </c>
      <c r="E38" s="348">
        <f t="shared" si="2"/>
        <v>74</v>
      </c>
      <c r="F38" s="358">
        <f t="shared" si="2"/>
        <v>102</v>
      </c>
      <c r="G38" s="358">
        <f t="shared" si="2"/>
        <v>13</v>
      </c>
      <c r="H38" s="347">
        <f t="shared" si="2"/>
        <v>115</v>
      </c>
    </row>
    <row r="39" spans="1:8" ht="13">
      <c r="A39" s="124" t="s">
        <v>141</v>
      </c>
      <c r="B39" s="350">
        <f t="shared" ref="B39:H39" si="3">SUM(B6:B19)</f>
        <v>2</v>
      </c>
      <c r="C39" s="350">
        <f t="shared" si="3"/>
        <v>1</v>
      </c>
      <c r="D39" s="350">
        <f t="shared" si="3"/>
        <v>25</v>
      </c>
      <c r="E39" s="350">
        <f t="shared" si="3"/>
        <v>71</v>
      </c>
      <c r="F39" s="350">
        <f t="shared" si="3"/>
        <v>99</v>
      </c>
      <c r="G39" s="352">
        <f t="shared" si="3"/>
        <v>7</v>
      </c>
      <c r="H39" s="352">
        <f t="shared" si="3"/>
        <v>106</v>
      </c>
    </row>
    <row r="40" spans="1:8" ht="13">
      <c r="A40" s="124" t="s">
        <v>119</v>
      </c>
      <c r="B40" s="350">
        <f t="shared" ref="B40" si="4">SUM(B20:B33)</f>
        <v>0</v>
      </c>
      <c r="C40" s="350">
        <f t="shared" ref="C40:H40" si="5">SUM(C20:C33)</f>
        <v>0</v>
      </c>
      <c r="D40" s="350">
        <f t="shared" si="5"/>
        <v>0</v>
      </c>
      <c r="E40" s="350">
        <f t="shared" si="5"/>
        <v>3</v>
      </c>
      <c r="F40" s="350">
        <f t="shared" si="5"/>
        <v>3</v>
      </c>
      <c r="G40" s="352">
        <f t="shared" si="5"/>
        <v>6</v>
      </c>
      <c r="H40" s="352">
        <f t="shared" si="5"/>
        <v>9</v>
      </c>
    </row>
    <row r="41" spans="1:8" ht="13.5" thickBot="1">
      <c r="A41" s="176" t="s">
        <v>85</v>
      </c>
      <c r="B41" s="354">
        <f t="shared" ref="B41" si="6">SUM(B34:B36)</f>
        <v>0</v>
      </c>
      <c r="C41" s="354">
        <f t="shared" ref="C41:H41" si="7">SUM(C34:C36)</f>
        <v>0</v>
      </c>
      <c r="D41" s="354">
        <f t="shared" si="7"/>
        <v>0</v>
      </c>
      <c r="E41" s="354">
        <f t="shared" si="7"/>
        <v>0</v>
      </c>
      <c r="F41" s="354">
        <f t="shared" si="7"/>
        <v>0</v>
      </c>
      <c r="G41" s="356">
        <f t="shared" si="7"/>
        <v>0</v>
      </c>
      <c r="H41" s="356">
        <f t="shared" si="7"/>
        <v>0</v>
      </c>
    </row>
    <row r="42" spans="1:8" ht="13">
      <c r="A42" s="121"/>
      <c r="B42" s="241"/>
      <c r="C42" s="241"/>
      <c r="D42" s="241"/>
      <c r="E42" s="241"/>
      <c r="F42" s="241"/>
      <c r="G42" s="241"/>
      <c r="H42" s="414"/>
    </row>
    <row r="43" spans="1:8" ht="13">
      <c r="A43" s="29" t="s">
        <v>271</v>
      </c>
      <c r="B43" s="12"/>
      <c r="C43" s="12"/>
      <c r="D43" s="12"/>
      <c r="E43" s="12"/>
      <c r="F43" s="12"/>
      <c r="G43" s="12"/>
      <c r="H43" s="76"/>
    </row>
    <row r="44" spans="1:8" ht="13">
      <c r="A44" s="29"/>
      <c r="B44" s="415" t="s">
        <v>348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2" t="s">
        <v>270</v>
      </c>
      <c r="C45" s="28"/>
      <c r="D45" s="28"/>
      <c r="E45" s="28"/>
      <c r="F45" s="28"/>
      <c r="G45" s="28"/>
      <c r="H45" s="80"/>
    </row>
    <row r="46" spans="1:8" ht="13">
      <c r="A46" s="120"/>
    </row>
    <row r="47" spans="1:8" ht="13">
      <c r="A47" s="261" t="s">
        <v>86</v>
      </c>
      <c r="B47" s="18">
        <f>SUM(B39:B41)-B38</f>
        <v>0</v>
      </c>
      <c r="C47" s="18">
        <f t="shared" ref="C47:H47" si="8">SUM(C39:C41)-C38</f>
        <v>0</v>
      </c>
      <c r="D47" s="18">
        <f t="shared" si="8"/>
        <v>0</v>
      </c>
      <c r="E47" s="18">
        <f t="shared" si="8"/>
        <v>0</v>
      </c>
      <c r="F47" s="18">
        <f t="shared" si="8"/>
        <v>0</v>
      </c>
      <c r="G47" s="18">
        <f t="shared" si="8"/>
        <v>0</v>
      </c>
      <c r="H47" s="18">
        <f t="shared" si="8"/>
        <v>0</v>
      </c>
    </row>
    <row r="48" spans="1:8" ht="13">
      <c r="A48" s="21"/>
    </row>
    <row r="49" spans="1:8" ht="13">
      <c r="A49" s="21"/>
    </row>
    <row r="50" spans="1:8" ht="13">
      <c r="A50" s="21"/>
    </row>
    <row r="51" spans="1:8" ht="13">
      <c r="A51" s="21"/>
      <c r="B51" s="544"/>
      <c r="C51" s="544"/>
      <c r="D51" s="544"/>
      <c r="E51" s="544"/>
      <c r="F51" s="544"/>
      <c r="G51" s="544"/>
      <c r="H51" s="544"/>
    </row>
    <row r="52" spans="1:8" ht="13">
      <c r="A52" s="21"/>
    </row>
    <row r="53" spans="1:8" ht="13">
      <c r="A53" s="21"/>
    </row>
    <row r="54" spans="1:8" ht="13">
      <c r="A54" s="21"/>
    </row>
    <row r="55" spans="1:8" ht="13">
      <c r="A55" s="21"/>
    </row>
    <row r="56" spans="1:8" ht="13">
      <c r="A56" s="21"/>
    </row>
    <row r="57" spans="1:8" ht="13">
      <c r="A57" s="21"/>
    </row>
    <row r="58" spans="1:8" ht="13">
      <c r="A58" s="21"/>
    </row>
    <row r="59" spans="1:8" ht="13">
      <c r="A59" s="21"/>
    </row>
    <row r="60" spans="1:8" ht="13">
      <c r="A60" s="21"/>
    </row>
    <row r="61" spans="1:8" ht="13">
      <c r="A61" s="21"/>
    </row>
    <row r="62" spans="1:8" ht="13">
      <c r="A62" s="21"/>
    </row>
    <row r="63" spans="1:8" ht="13">
      <c r="A63" s="21"/>
    </row>
    <row r="64" spans="1:8" ht="13">
      <c r="A64" s="21"/>
    </row>
    <row r="65" spans="1:1" ht="13">
      <c r="A65" s="21"/>
    </row>
    <row r="66" spans="1:1" ht="13">
      <c r="A66" s="21"/>
    </row>
    <row r="67" spans="1:1" ht="13">
      <c r="A67" s="21"/>
    </row>
    <row r="68" spans="1:1" ht="13">
      <c r="A68" s="21"/>
    </row>
    <row r="69" spans="1:1" ht="13">
      <c r="A69" s="21"/>
    </row>
    <row r="70" spans="1:1" ht="13">
      <c r="A70" s="21"/>
    </row>
    <row r="71" spans="1:1" ht="13">
      <c r="A71" s="21"/>
    </row>
    <row r="72" spans="1:1" ht="13">
      <c r="A72" s="21"/>
    </row>
    <row r="73" spans="1:1" ht="13">
      <c r="A73" s="21"/>
    </row>
    <row r="74" spans="1:1" ht="13">
      <c r="A74" s="21"/>
    </row>
    <row r="75" spans="1:1" ht="13">
      <c r="A75" s="21"/>
    </row>
    <row r="76" spans="1:1" ht="13">
      <c r="A76" s="21"/>
    </row>
    <row r="77" spans="1:1" ht="13">
      <c r="A77" s="21"/>
    </row>
    <row r="78" spans="1:1" ht="13">
      <c r="A78" s="21"/>
    </row>
    <row r="79" spans="1:1" ht="13">
      <c r="A79" s="21"/>
    </row>
    <row r="80" spans="1:1" ht="13">
      <c r="A80" s="21"/>
    </row>
    <row r="81" spans="1:1" ht="13">
      <c r="A81" s="21"/>
    </row>
    <row r="82" spans="1:1" ht="13">
      <c r="A82" s="21"/>
    </row>
    <row r="83" spans="1:1" ht="13">
      <c r="A83" s="21"/>
    </row>
    <row r="84" spans="1:1" ht="13">
      <c r="A84" s="21"/>
    </row>
    <row r="85" spans="1:1" ht="13">
      <c r="A85" s="21"/>
    </row>
    <row r="86" spans="1:1" ht="13">
      <c r="A86" s="21"/>
    </row>
    <row r="87" spans="1:1" ht="13">
      <c r="A87" s="21"/>
    </row>
    <row r="88" spans="1:1" ht="13">
      <c r="A88" s="21"/>
    </row>
    <row r="89" spans="1:1" ht="13">
      <c r="A89" s="21"/>
    </row>
    <row r="90" spans="1:1" ht="13">
      <c r="A90" s="21"/>
    </row>
    <row r="91" spans="1:1" ht="13">
      <c r="A91" s="21"/>
    </row>
    <row r="92" spans="1:1" ht="13">
      <c r="A92" s="21"/>
    </row>
    <row r="93" spans="1:1" ht="13">
      <c r="A93" s="21"/>
    </row>
    <row r="94" spans="1:1" ht="13">
      <c r="A94" s="21"/>
    </row>
    <row r="95" spans="1:1" ht="13">
      <c r="A95" s="21"/>
    </row>
    <row r="96" spans="1:1" ht="13">
      <c r="A96" s="21"/>
    </row>
    <row r="97" spans="1:1" ht="13">
      <c r="A97" s="21"/>
    </row>
    <row r="98" spans="1:1" ht="13">
      <c r="A98" s="21"/>
    </row>
    <row r="99" spans="1:1" ht="13">
      <c r="A99" s="21"/>
    </row>
    <row r="100" spans="1:1" ht="13">
      <c r="A100" s="21"/>
    </row>
    <row r="101" spans="1:1" ht="13">
      <c r="A101" s="21"/>
    </row>
    <row r="102" spans="1:1" ht="13">
      <c r="A102" s="21"/>
    </row>
    <row r="103" spans="1:1" ht="13">
      <c r="A103" s="21"/>
    </row>
    <row r="104" spans="1:1" ht="13">
      <c r="A104" s="21"/>
    </row>
    <row r="105" spans="1:1" ht="13">
      <c r="A105" s="21"/>
    </row>
    <row r="106" spans="1:1" ht="13">
      <c r="A106" s="21"/>
    </row>
    <row r="107" spans="1:1" ht="13">
      <c r="A107" s="21"/>
    </row>
    <row r="108" spans="1:1" ht="13">
      <c r="A108" s="21"/>
    </row>
    <row r="109" spans="1:1" ht="13">
      <c r="A109" s="21"/>
    </row>
    <row r="110" spans="1:1" ht="13">
      <c r="A110" s="21"/>
    </row>
    <row r="111" spans="1:1" ht="13">
      <c r="A111" s="21"/>
    </row>
    <row r="112" spans="1:1" ht="13">
      <c r="A112" s="21"/>
    </row>
    <row r="113" spans="1:1" ht="13">
      <c r="A113" s="21"/>
    </row>
    <row r="114" spans="1:1" ht="13">
      <c r="A114" s="21"/>
    </row>
    <row r="115" spans="1:1" ht="13">
      <c r="A115" s="21"/>
    </row>
    <row r="116" spans="1:1" ht="13">
      <c r="A116" s="21"/>
    </row>
    <row r="117" spans="1:1" ht="13">
      <c r="A117" s="21"/>
    </row>
    <row r="118" spans="1:1" ht="13">
      <c r="A118" s="21"/>
    </row>
    <row r="119" spans="1:1" ht="13">
      <c r="A119" s="21"/>
    </row>
    <row r="120" spans="1:1" ht="13">
      <c r="A120" s="21"/>
    </row>
    <row r="121" spans="1:1" ht="13">
      <c r="A121" s="21"/>
    </row>
    <row r="122" spans="1:1" ht="13">
      <c r="A122" s="21"/>
    </row>
    <row r="123" spans="1:1" ht="13">
      <c r="A123" s="21"/>
    </row>
    <row r="124" spans="1:1" ht="13">
      <c r="A124" s="21"/>
    </row>
    <row r="125" spans="1:1" ht="13">
      <c r="A125" s="21"/>
    </row>
    <row r="126" spans="1:1" ht="13">
      <c r="A126" s="21"/>
    </row>
    <row r="127" spans="1:1" ht="13">
      <c r="A127" s="21"/>
    </row>
    <row r="128" spans="1:1" ht="13">
      <c r="A128" s="21"/>
    </row>
    <row r="129" spans="1:1" ht="13">
      <c r="A129" s="21"/>
    </row>
    <row r="130" spans="1:1" ht="13">
      <c r="A130" s="21"/>
    </row>
    <row r="131" spans="1:1" ht="13">
      <c r="A131" s="21"/>
    </row>
    <row r="132" spans="1:1" ht="13">
      <c r="A132" s="21"/>
    </row>
    <row r="133" spans="1:1" ht="13">
      <c r="A133" s="21"/>
    </row>
    <row r="134" spans="1:1" ht="13">
      <c r="A134" s="21"/>
    </row>
    <row r="135" spans="1:1" ht="13">
      <c r="A135" s="21"/>
    </row>
    <row r="136" spans="1:1" ht="13">
      <c r="A136" s="21"/>
    </row>
    <row r="137" spans="1:1" ht="13">
      <c r="A137" s="21"/>
    </row>
    <row r="138" spans="1:1" ht="13">
      <c r="A138" s="21"/>
    </row>
    <row r="139" spans="1:1" ht="13">
      <c r="A139" s="21"/>
    </row>
    <row r="140" spans="1:1" ht="13">
      <c r="A140" s="21"/>
    </row>
    <row r="141" spans="1:1" ht="13">
      <c r="A141" s="21"/>
    </row>
    <row r="142" spans="1:1" ht="13">
      <c r="A142" s="21"/>
    </row>
    <row r="143" spans="1:1" ht="13">
      <c r="A143" s="21"/>
    </row>
    <row r="144" spans="1:1" ht="13">
      <c r="A144" s="21"/>
    </row>
    <row r="145" spans="1:1" ht="13">
      <c r="A145" s="21"/>
    </row>
    <row r="146" spans="1:1" ht="13">
      <c r="A146" s="21"/>
    </row>
    <row r="147" spans="1:1" ht="13">
      <c r="A147" s="21"/>
    </row>
    <row r="148" spans="1:1" ht="13">
      <c r="A148" s="21"/>
    </row>
    <row r="149" spans="1:1" ht="13">
      <c r="A149" s="21"/>
    </row>
    <row r="150" spans="1:1" ht="13">
      <c r="A150" s="21"/>
    </row>
    <row r="151" spans="1:1" ht="13">
      <c r="A151" s="21"/>
    </row>
    <row r="152" spans="1:1" ht="13">
      <c r="A152" s="21"/>
    </row>
    <row r="153" spans="1:1" ht="13">
      <c r="A153" s="21"/>
    </row>
    <row r="154" spans="1:1" ht="13">
      <c r="A154" s="21"/>
    </row>
    <row r="155" spans="1:1" ht="13">
      <c r="A155" s="21"/>
    </row>
    <row r="156" spans="1:1" ht="13">
      <c r="A156" s="21"/>
    </row>
    <row r="157" spans="1:1" ht="13">
      <c r="A157" s="21"/>
    </row>
    <row r="158" spans="1:1" ht="13">
      <c r="A158" s="21"/>
    </row>
    <row r="159" spans="1:1" ht="13">
      <c r="A159" s="21"/>
    </row>
    <row r="160" spans="1:1" ht="13">
      <c r="A160" s="21"/>
    </row>
    <row r="161" spans="1:1" ht="13">
      <c r="A161" s="21"/>
    </row>
    <row r="162" spans="1:1" ht="13">
      <c r="A162" s="21"/>
    </row>
    <row r="163" spans="1:1" ht="13">
      <c r="A163" s="21"/>
    </row>
    <row r="164" spans="1:1" ht="13">
      <c r="A164" s="21"/>
    </row>
    <row r="165" spans="1:1" ht="13">
      <c r="A165" s="21"/>
    </row>
    <row r="166" spans="1:1" ht="13">
      <c r="A166" s="21"/>
    </row>
    <row r="167" spans="1:1" ht="13">
      <c r="A167" s="21"/>
    </row>
    <row r="168" spans="1:1" ht="13">
      <c r="A168" s="21"/>
    </row>
    <row r="169" spans="1:1" ht="13">
      <c r="A169" s="21"/>
    </row>
    <row r="170" spans="1:1" ht="13">
      <c r="A170" s="21"/>
    </row>
    <row r="171" spans="1:1" ht="13">
      <c r="A171" s="21"/>
    </row>
    <row r="172" spans="1:1" ht="13">
      <c r="A172" s="21"/>
    </row>
    <row r="173" spans="1:1" ht="13">
      <c r="A173" s="21"/>
    </row>
    <row r="174" spans="1:1" ht="13">
      <c r="A174" s="21"/>
    </row>
    <row r="175" spans="1:1" ht="13">
      <c r="A175" s="21"/>
    </row>
    <row r="176" spans="1:1" ht="13">
      <c r="A176" s="21"/>
    </row>
    <row r="177" spans="1:1" ht="13">
      <c r="A177" s="21"/>
    </row>
    <row r="178" spans="1:1" ht="13">
      <c r="A178" s="21"/>
    </row>
    <row r="179" spans="1:1" ht="13">
      <c r="A179" s="21"/>
    </row>
    <row r="180" spans="1:1" ht="13">
      <c r="A180" s="21"/>
    </row>
    <row r="181" spans="1:1" ht="13">
      <c r="A181" s="21"/>
    </row>
    <row r="182" spans="1:1" ht="13">
      <c r="A182" s="21"/>
    </row>
    <row r="183" spans="1:1" ht="13">
      <c r="A183" s="21"/>
    </row>
    <row r="184" spans="1:1" ht="13">
      <c r="A184" s="21"/>
    </row>
    <row r="185" spans="1:1" ht="13">
      <c r="A185" s="21"/>
    </row>
    <row r="186" spans="1:1" ht="13">
      <c r="A186" s="21"/>
    </row>
    <row r="187" spans="1:1" ht="13">
      <c r="A187" s="21"/>
    </row>
    <row r="188" spans="1:1" ht="13">
      <c r="A188" s="21"/>
    </row>
    <row r="189" spans="1:1" ht="13">
      <c r="A189" s="21"/>
    </row>
    <row r="190" spans="1:1" ht="13">
      <c r="A190" s="21"/>
    </row>
    <row r="191" spans="1:1" ht="13">
      <c r="A191" s="21"/>
    </row>
    <row r="192" spans="1:1" ht="13">
      <c r="A192" s="21"/>
    </row>
    <row r="193" spans="1:1" ht="13">
      <c r="A193" s="21"/>
    </row>
    <row r="194" spans="1:1" ht="13">
      <c r="A194" s="21"/>
    </row>
    <row r="195" spans="1:1" ht="13">
      <c r="A195" s="21"/>
    </row>
    <row r="196" spans="1:1" ht="13">
      <c r="A196" s="21"/>
    </row>
    <row r="197" spans="1:1" ht="13">
      <c r="A197" s="21"/>
    </row>
    <row r="198" spans="1:1" ht="13">
      <c r="A198" s="21"/>
    </row>
    <row r="199" spans="1:1" ht="13">
      <c r="A199" s="21"/>
    </row>
    <row r="200" spans="1:1" ht="13">
      <c r="A200" s="21"/>
    </row>
    <row r="201" spans="1:1" ht="13">
      <c r="A201" s="21"/>
    </row>
    <row r="202" spans="1:1" ht="13">
      <c r="A202" s="21"/>
    </row>
    <row r="203" spans="1:1" ht="13">
      <c r="A203" s="21"/>
    </row>
    <row r="204" spans="1:1" ht="13">
      <c r="A204" s="21"/>
    </row>
    <row r="205" spans="1:1" ht="13">
      <c r="A205" s="21"/>
    </row>
    <row r="206" spans="1:1" ht="13">
      <c r="A206" s="21"/>
    </row>
    <row r="207" spans="1:1" ht="13">
      <c r="A207" s="21"/>
    </row>
    <row r="208" spans="1:1" ht="13">
      <c r="A208" s="21"/>
    </row>
    <row r="209" spans="1:1" ht="13">
      <c r="A209" s="21"/>
    </row>
    <row r="210" spans="1:1" ht="13">
      <c r="A210" s="21"/>
    </row>
    <row r="211" spans="1:1" ht="13">
      <c r="A211" s="21"/>
    </row>
    <row r="212" spans="1:1" ht="13">
      <c r="A212" s="21"/>
    </row>
    <row r="213" spans="1:1" ht="13">
      <c r="A213" s="21"/>
    </row>
    <row r="214" spans="1:1" ht="13">
      <c r="A214" s="21"/>
    </row>
    <row r="215" spans="1:1" ht="13">
      <c r="A215" s="21"/>
    </row>
    <row r="216" spans="1:1" ht="13">
      <c r="A216" s="21"/>
    </row>
    <row r="217" spans="1:1" ht="13">
      <c r="A217" s="21"/>
    </row>
    <row r="218" spans="1:1" ht="13">
      <c r="A218" s="21"/>
    </row>
    <row r="219" spans="1:1" ht="13">
      <c r="A219" s="21"/>
    </row>
    <row r="220" spans="1:1" ht="13">
      <c r="A220" s="21"/>
    </row>
    <row r="221" spans="1:1" ht="13">
      <c r="A221" s="21"/>
    </row>
    <row r="222" spans="1:1" ht="13">
      <c r="A222" s="21"/>
    </row>
    <row r="223" spans="1:1" ht="13">
      <c r="A223" s="21"/>
    </row>
    <row r="224" spans="1:1" ht="13">
      <c r="A224" s="21"/>
    </row>
    <row r="225" spans="1:1" ht="13">
      <c r="A225" s="21"/>
    </row>
    <row r="226" spans="1:1" ht="13">
      <c r="A226" s="21"/>
    </row>
    <row r="227" spans="1:1" ht="13">
      <c r="A227" s="21"/>
    </row>
    <row r="228" spans="1:1" ht="13">
      <c r="A228" s="21"/>
    </row>
  </sheetData>
  <mergeCells count="2">
    <mergeCell ref="A1:H1"/>
    <mergeCell ref="B2:F2"/>
  </mergeCells>
  <phoneticPr fontId="0" type="noConversion"/>
  <printOptions horizontalCentered="1"/>
  <pageMargins left="0.75" right="0.75" top="1" bottom="1" header="0.5" footer="0.5"/>
  <pageSetup scale="82" orientation="portrait" r:id="rId1"/>
  <headerFooter alignWithMargins="0">
    <oddFooter>&amp;L&amp;F
&amp;A&amp;R&amp;P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4">
    <tabColor rgb="FFFFC000"/>
  </sheetPr>
  <dimension ref="A1:AC60"/>
  <sheetViews>
    <sheetView topLeftCell="M9" zoomScaleNormal="100" workbookViewId="0">
      <selection activeCell="X7" sqref="X7"/>
    </sheetView>
  </sheetViews>
  <sheetFormatPr defaultRowHeight="12.5"/>
  <cols>
    <col min="1" max="1" width="32.7265625" customWidth="1"/>
    <col min="2" max="2" width="12.54296875" bestFit="1" customWidth="1"/>
    <col min="3" max="5" width="11.54296875" customWidth="1"/>
    <col min="6" max="6" width="12.81640625" bestFit="1" customWidth="1"/>
    <col min="7" max="8" width="11.54296875" customWidth="1"/>
    <col min="9" max="9" width="11.453125" customWidth="1"/>
    <col min="10" max="10" width="12.81640625" bestFit="1" customWidth="1"/>
    <col min="11" max="12" width="10.1796875" customWidth="1"/>
    <col min="13" max="13" width="11.7265625" customWidth="1"/>
    <col min="14" max="14" width="12.81640625" bestFit="1" customWidth="1"/>
    <col min="15" max="16" width="11.26953125" bestFit="1" customWidth="1"/>
    <col min="17" max="21" width="12.54296875" customWidth="1"/>
    <col min="22" max="22" width="12.81640625" bestFit="1" customWidth="1"/>
    <col min="23" max="24" width="11.453125" customWidth="1"/>
    <col min="25" max="25" width="13" customWidth="1"/>
    <col min="26" max="26" width="12.81640625" bestFit="1" customWidth="1"/>
    <col min="27" max="28" width="11.26953125" bestFit="1" customWidth="1"/>
    <col min="29" max="29" width="10.26953125" bestFit="1" customWidth="1"/>
  </cols>
  <sheetData>
    <row r="1" spans="1:29" ht="18.5" thickBot="1">
      <c r="A1" s="750" t="s">
        <v>147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29" ht="13.5" thickBot="1">
      <c r="A2" s="229"/>
      <c r="B2" s="568"/>
      <c r="C2" s="566"/>
      <c r="D2" s="566"/>
      <c r="E2" s="567"/>
      <c r="F2" s="743" t="s">
        <v>112</v>
      </c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201</v>
      </c>
      <c r="AA2" s="744"/>
      <c r="AB2" s="744"/>
      <c r="AC2" s="746"/>
    </row>
    <row r="3" spans="1:29" ht="13">
      <c r="A3" s="55"/>
      <c r="B3" s="751" t="s">
        <v>95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3"/>
      <c r="R3" s="745" t="s">
        <v>118</v>
      </c>
      <c r="S3" s="752"/>
      <c r="T3" s="752"/>
      <c r="U3" s="753"/>
      <c r="V3" s="756"/>
      <c r="W3" s="756"/>
      <c r="X3" s="756"/>
      <c r="Y3" s="757"/>
      <c r="Z3" s="755"/>
      <c r="AA3" s="756"/>
      <c r="AB3" s="756"/>
      <c r="AC3" s="757"/>
    </row>
    <row r="4" spans="1:29" ht="13.5" thickBot="1">
      <c r="A4" s="232" t="s">
        <v>4</v>
      </c>
      <c r="B4" s="569" t="s">
        <v>36</v>
      </c>
      <c r="C4" s="570" t="s">
        <v>37</v>
      </c>
      <c r="D4" s="570" t="s">
        <v>38</v>
      </c>
      <c r="E4" s="571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4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  <c r="V4" s="233" t="s">
        <v>36</v>
      </c>
      <c r="W4" s="233" t="s">
        <v>37</v>
      </c>
      <c r="X4" s="233" t="s">
        <v>38</v>
      </c>
      <c r="Y4" s="234" t="s">
        <v>41</v>
      </c>
      <c r="Z4" s="232" t="s">
        <v>36</v>
      </c>
      <c r="AA4" s="233" t="s">
        <v>37</v>
      </c>
      <c r="AB4" s="233" t="s">
        <v>38</v>
      </c>
      <c r="AC4" s="234" t="s">
        <v>41</v>
      </c>
    </row>
    <row r="5" spans="1:29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 ht="13">
      <c r="A6" s="10"/>
      <c r="B6" s="10"/>
      <c r="C6" s="27"/>
      <c r="D6" s="27"/>
      <c r="E6" s="81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 ht="13">
      <c r="A7" s="124" t="s">
        <v>5</v>
      </c>
      <c r="B7" s="109">
        <f>'Sch DG-R Cust Fcst'!$B6*'Non-Residential TSM UC Adj'!B7</f>
        <v>0</v>
      </c>
      <c r="C7" s="23">
        <f>'Sch DG-R Cust Fcst'!$B6*'Non-Residential TSM UC Adj'!C7</f>
        <v>0</v>
      </c>
      <c r="D7" s="23">
        <f>'Sch DG-R Cust Fcst'!$B6*'Non-Residential TSM UC Adj'!D7</f>
        <v>0</v>
      </c>
      <c r="E7" s="41">
        <f>IF(SUM(B7:D7)=0,0,SUM(B7:D7)/'Sch DG-R Cust Fcst'!B6)</f>
        <v>0</v>
      </c>
      <c r="F7" s="109">
        <f>'Sch DG-R Cust Fcst'!$C6*'Non-Residential TSM UC Adj'!F7</f>
        <v>0</v>
      </c>
      <c r="G7" s="23">
        <f>'Sch DG-R Cust Fcst'!$C6*'Non-Residential TSM UC Adj'!G7</f>
        <v>0</v>
      </c>
      <c r="H7" s="23">
        <f>'Sch DG-R Cust Fcst'!$C6*'Non-Residential TSM UC Adj'!H7</f>
        <v>0</v>
      </c>
      <c r="I7" s="41">
        <f>IF(SUM(F7:H7)=0,0,SUM(F7:H7)/'Sch DG-R Cust Fcst'!C6)</f>
        <v>0</v>
      </c>
      <c r="J7" s="109">
        <f>'Sch DG-R Cust Fcst'!$D6*'Non-Residential TSM UC Adj'!J7</f>
        <v>0</v>
      </c>
      <c r="K7" s="23">
        <f>'Sch DG-R Cust Fcst'!$D6*'Non-Residential TSM UC Adj'!K7</f>
        <v>0</v>
      </c>
      <c r="L7" s="23">
        <f>'Sch DG-R Cust Fcst'!$D6*'Non-Residential TSM UC Adj'!L7</f>
        <v>0</v>
      </c>
      <c r="M7" s="41">
        <f>IF(SUM(J7:L7)=0,0,SUM(J7:L7)/'Sch DG-R Cust Fcst'!D6)</f>
        <v>0</v>
      </c>
      <c r="N7" s="109">
        <f>'Sch DG-R Cust Fcst'!$E6*'Non-Residential TSM UC Adj'!N7</f>
        <v>0</v>
      </c>
      <c r="O7" s="23">
        <f>'Sch DG-R Cust Fcst'!$E6*'Non-Residential TSM UC Adj'!O7</f>
        <v>0</v>
      </c>
      <c r="P7" s="23">
        <f>'Sch DG-R Cust Fcst'!$E6*'Non-Residential TSM UC Adj'!P7</f>
        <v>0</v>
      </c>
      <c r="Q7" s="41">
        <f>IF(SUM(N7:P7)=0,0,SUM(N7:P7)/'Sch DG-R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DG-R Cust Fcst'!F6)</f>
        <v>0</v>
      </c>
      <c r="V7" s="33">
        <f>'Sch DG-R Cust Fcst'!$G6*'Non-Residential TSM UC Adj'!R7</f>
        <v>0</v>
      </c>
      <c r="W7" s="33">
        <f>'Sch DG-R Cust Fcst'!$G6*'Non-Residential TSM UC Adj'!S7</f>
        <v>0</v>
      </c>
      <c r="X7" s="33">
        <f>'Sch DG-R Cust Fcst'!$G6*'Non-Residential TSM UC Adj'!T7</f>
        <v>0</v>
      </c>
      <c r="Y7" s="41">
        <f>IF(SUM(V7:X7)=0,0,SUM(V7:X7)/'Sch DG-R Cust Fcst'!G6)</f>
        <v>0</v>
      </c>
      <c r="Z7" s="23">
        <f>R7+V7</f>
        <v>0</v>
      </c>
      <c r="AA7" s="23">
        <f t="shared" ref="AA7:AB22" si="0">S7+W7</f>
        <v>0</v>
      </c>
      <c r="AB7" s="23">
        <f t="shared" si="0"/>
        <v>0</v>
      </c>
      <c r="AC7" s="41">
        <f>IF(SUM(Z7:AB7)=0,0,SUM(Z7:AB7)/'Sch DG-R Cust Fcst'!H6)</f>
        <v>0</v>
      </c>
    </row>
    <row r="8" spans="1:29" ht="13">
      <c r="A8" s="125" t="s">
        <v>6</v>
      </c>
      <c r="B8" s="109">
        <f>'Sch DG-R Cust Fcst'!$B7*'Non-Residential TSM UC Adj'!B8</f>
        <v>0</v>
      </c>
      <c r="C8" s="23">
        <f>'Sch DG-R Cust Fcst'!$B7*'Non-Residential TSM UC Adj'!C8</f>
        <v>0</v>
      </c>
      <c r="D8" s="23">
        <f>'Sch DG-R Cust Fcst'!$B7*'Non-Residential TSM UC Adj'!D8</f>
        <v>0</v>
      </c>
      <c r="E8" s="41">
        <f>IF(SUM(B8:D8)=0,0,SUM(B8:D8)/'Sch DG-R Cust Fcst'!B7)</f>
        <v>0</v>
      </c>
      <c r="F8" s="109">
        <f>'Sch DG-R Cust Fcst'!$C7*'Non-Residential TSM UC Adj'!F8</f>
        <v>0</v>
      </c>
      <c r="G8" s="23">
        <f>'Sch DG-R Cust Fcst'!$C7*'Non-Residential TSM UC Adj'!G8</f>
        <v>0</v>
      </c>
      <c r="H8" s="23">
        <f>'Sch DG-R Cust Fcst'!$C7*'Non-Residential TSM UC Adj'!H8</f>
        <v>0</v>
      </c>
      <c r="I8" s="41">
        <f>IF(SUM(F8:H8)=0,0,SUM(F8:H8)/'Sch DG-R Cust Fcst'!C7)</f>
        <v>0</v>
      </c>
      <c r="J8" s="109">
        <f>'Sch DG-R Cust Fcst'!$D7*'Non-Residential TSM UC Adj'!J8</f>
        <v>0</v>
      </c>
      <c r="K8" s="23">
        <f>'Sch DG-R Cust Fcst'!$D7*'Non-Residential TSM UC Adj'!K8</f>
        <v>0</v>
      </c>
      <c r="L8" s="23">
        <f>'Sch DG-R Cust Fcst'!$D7*'Non-Residential TSM UC Adj'!L8</f>
        <v>0</v>
      </c>
      <c r="M8" s="41">
        <f>IF(SUM(J8:L8)=0,0,SUM(J8:L8)/'Sch DG-R Cust Fcst'!D7)</f>
        <v>0</v>
      </c>
      <c r="N8" s="109">
        <f>'Sch DG-R Cust Fcst'!$E7*'Non-Residential TSM UC Adj'!N8</f>
        <v>0</v>
      </c>
      <c r="O8" s="23">
        <f>'Sch DG-R Cust Fcst'!$E7*'Non-Residential TSM UC Adj'!O8</f>
        <v>0</v>
      </c>
      <c r="P8" s="23">
        <f>'Sch DG-R Cust Fcst'!$E7*'Non-Residential TSM UC Adj'!P8</f>
        <v>0</v>
      </c>
      <c r="Q8" s="41">
        <f>IF(SUM(N8:P8)=0,0,SUM(N8:P8)/'Sch DG-R Cust Fcst'!E7)</f>
        <v>0</v>
      </c>
      <c r="R8" s="109">
        <f t="shared" ref="R8:R37" si="1">B8+F8+J8+N8</f>
        <v>0</v>
      </c>
      <c r="S8" s="23">
        <f t="shared" ref="S8:S37" si="2">C8+G8+K8+O8</f>
        <v>0</v>
      </c>
      <c r="T8" s="23">
        <f t="shared" ref="T8:T37" si="3">D8+H8+L8+P8</f>
        <v>0</v>
      </c>
      <c r="U8" s="41">
        <f>IF(SUM(R8:T8)=0,0,SUM(R8:T8)/'Sch DG-R Cust Fcst'!F7)</f>
        <v>0</v>
      </c>
      <c r="V8" s="33">
        <f>'Sch DG-R Cust Fcst'!$G7*'Non-Residential TSM UC Adj'!R8</f>
        <v>0</v>
      </c>
      <c r="W8" s="33">
        <f>'Sch DG-R Cust Fcst'!$G7*'Non-Residential TSM UC Adj'!S8</f>
        <v>0</v>
      </c>
      <c r="X8" s="33">
        <f>'Sch DG-R Cust Fcst'!$G7*'Non-Residential TSM UC Adj'!T8</f>
        <v>0</v>
      </c>
      <c r="Y8" s="41">
        <f>IF(SUM(V8:X8)=0,0,SUM(V8:X8)/'Sch DG-R Cust Fcst'!G7)</f>
        <v>0</v>
      </c>
      <c r="Z8" s="23">
        <f t="shared" ref="Z8:AB37" si="4">R8+V8</f>
        <v>0</v>
      </c>
      <c r="AA8" s="23">
        <f t="shared" si="0"/>
        <v>0</v>
      </c>
      <c r="AB8" s="23">
        <f t="shared" si="0"/>
        <v>0</v>
      </c>
      <c r="AC8" s="41">
        <f>IF(SUM(Z8:AB8)=0,0,SUM(Z8:AB8)/'Sch DG-R Cust Fcst'!H7)</f>
        <v>0</v>
      </c>
    </row>
    <row r="9" spans="1:29" ht="13">
      <c r="A9" s="126" t="s">
        <v>7</v>
      </c>
      <c r="B9" s="109">
        <f>'Sch DG-R Cust Fcst'!$B8*'Non-Residential TSM UC Adj'!B9</f>
        <v>0</v>
      </c>
      <c r="C9" s="23">
        <f>'Sch DG-R Cust Fcst'!$B8*'Non-Residential TSM UC Adj'!C9</f>
        <v>0</v>
      </c>
      <c r="D9" s="23">
        <f>'Sch DG-R Cust Fcst'!$B8*'Non-Residential TSM UC Adj'!D9</f>
        <v>0</v>
      </c>
      <c r="E9" s="41">
        <f>IF(SUM(B9:D9)=0,0,SUM(B9:D9)/'Sch DG-R Cust Fcst'!B8)</f>
        <v>0</v>
      </c>
      <c r="F9" s="109">
        <f>'Sch DG-R Cust Fcst'!$C8*'Non-Residential TSM UC Adj'!F9</f>
        <v>0</v>
      </c>
      <c r="G9" s="23">
        <f>'Sch DG-R Cust Fcst'!$C8*'Non-Residential TSM UC Adj'!G9</f>
        <v>0</v>
      </c>
      <c r="H9" s="23">
        <f>'Sch DG-R Cust Fcst'!$C8*'Non-Residential TSM UC Adj'!H9</f>
        <v>0</v>
      </c>
      <c r="I9" s="41">
        <f>IF(SUM(F9:H9)=0,0,SUM(F9:H9)/'Sch DG-R Cust Fcst'!C8)</f>
        <v>0</v>
      </c>
      <c r="J9" s="109">
        <f>'Sch DG-R Cust Fcst'!$D8*'Non-Residential TSM UC Adj'!J9</f>
        <v>0</v>
      </c>
      <c r="K9" s="23">
        <f>'Sch DG-R Cust Fcst'!$D8*'Non-Residential TSM UC Adj'!K9</f>
        <v>0</v>
      </c>
      <c r="L9" s="23">
        <f>'Sch DG-R Cust Fcst'!$D8*'Non-Residential TSM UC Adj'!L9</f>
        <v>0</v>
      </c>
      <c r="M9" s="41">
        <f>IF(SUM(J9:L9)=0,0,SUM(J9:L9)/'Sch DG-R Cust Fcst'!D8)</f>
        <v>0</v>
      </c>
      <c r="N9" s="109">
        <f>'Sch DG-R Cust Fcst'!$E8*'Non-Residential TSM UC Adj'!N9</f>
        <v>0</v>
      </c>
      <c r="O9" s="23">
        <f>'Sch DG-R Cust Fcst'!$E8*'Non-Residential TSM UC Adj'!O9</f>
        <v>0</v>
      </c>
      <c r="P9" s="23">
        <f>'Sch DG-R Cust Fcst'!$E8*'Non-Residential TSM UC Adj'!P9</f>
        <v>0</v>
      </c>
      <c r="Q9" s="41">
        <f>IF(SUM(N9:P9)=0,0,SUM(N9:P9)/'Sch DG-R Cust Fcst'!E8)</f>
        <v>0</v>
      </c>
      <c r="R9" s="109">
        <f t="shared" si="1"/>
        <v>0</v>
      </c>
      <c r="S9" s="23">
        <f t="shared" si="2"/>
        <v>0</v>
      </c>
      <c r="T9" s="23">
        <f t="shared" si="3"/>
        <v>0</v>
      </c>
      <c r="U9" s="41">
        <f>IF(SUM(R9:T9)=0,0,SUM(R9:T9)/'Sch DG-R Cust Fcst'!F8)</f>
        <v>0</v>
      </c>
      <c r="V9" s="33">
        <f>'Sch DG-R Cust Fcst'!$G8*'Non-Residential TSM UC Adj'!R9</f>
        <v>0</v>
      </c>
      <c r="W9" s="33">
        <f>'Sch DG-R Cust Fcst'!$G8*'Non-Residential TSM UC Adj'!S9</f>
        <v>0</v>
      </c>
      <c r="X9" s="33">
        <f>'Sch DG-R Cust Fcst'!$G8*'Non-Residential TSM UC Adj'!T9</f>
        <v>0</v>
      </c>
      <c r="Y9" s="41">
        <f>IF(SUM(V9:X9)=0,0,SUM(V9:X9)/'Sch DG-R Cust Fcst'!G8)</f>
        <v>0</v>
      </c>
      <c r="Z9" s="23">
        <f t="shared" si="4"/>
        <v>0</v>
      </c>
      <c r="AA9" s="23">
        <f t="shared" si="0"/>
        <v>0</v>
      </c>
      <c r="AB9" s="23">
        <f t="shared" si="0"/>
        <v>0</v>
      </c>
      <c r="AC9" s="41">
        <f>IF(SUM(Z9:AB9)=0,0,SUM(Z9:AB9)/'Sch DG-R Cust Fcst'!H8)</f>
        <v>0</v>
      </c>
    </row>
    <row r="10" spans="1:29" ht="13">
      <c r="A10" s="126" t="s">
        <v>105</v>
      </c>
      <c r="B10" s="109">
        <f>'Sch DG-R Cust Fcst'!$B9*'Non-Residential TSM UC Adj'!B10</f>
        <v>0</v>
      </c>
      <c r="C10" s="23">
        <f>'Sch DG-R Cust Fcst'!$B9*'Non-Residential TSM UC Adj'!C10</f>
        <v>0</v>
      </c>
      <c r="D10" s="23">
        <f>'Sch DG-R Cust Fcst'!$B9*'Non-Residential TSM UC Adj'!D10</f>
        <v>0</v>
      </c>
      <c r="E10" s="41">
        <f>IF(SUM(B10:D10)=0,0,SUM(B10:D10)/'Sch DG-R Cust Fcst'!B9)</f>
        <v>0</v>
      </c>
      <c r="F10" s="109">
        <f>'Sch DG-R Cust Fcst'!$C9*'Non-Residential TSM UC Adj'!F10</f>
        <v>0</v>
      </c>
      <c r="G10" s="23">
        <f>'Sch DG-R Cust Fcst'!$C9*'Non-Residential TSM UC Adj'!G10</f>
        <v>0</v>
      </c>
      <c r="H10" s="23">
        <f>'Sch DG-R Cust Fcst'!$C9*'Non-Residential TSM UC Adj'!H10</f>
        <v>0</v>
      </c>
      <c r="I10" s="41">
        <f>IF(SUM(F10:H10)=0,0,SUM(F10:H10)/'Sch DG-R Cust Fcst'!C9)</f>
        <v>0</v>
      </c>
      <c r="J10" s="109">
        <f>'Sch DG-R Cust Fcst'!$D9*'Non-Residential TSM UC Adj'!J10</f>
        <v>4948.0982931893386</v>
      </c>
      <c r="K10" s="23">
        <f>'Sch DG-R Cust Fcst'!$D9*'Non-Residential TSM UC Adj'!K10</f>
        <v>718.29191911453245</v>
      </c>
      <c r="L10" s="23">
        <f>'Sch DG-R Cust Fcst'!$D9*'Non-Residential TSM UC Adj'!L10</f>
        <v>301.76349896014176</v>
      </c>
      <c r="M10" s="41">
        <f>IF(SUM(J10:L10)=0,0,SUM(J10:L10)/'Sch DG-R Cust Fcst'!D9)</f>
        <v>5968.1537112640135</v>
      </c>
      <c r="N10" s="109">
        <f>'Sch DG-R Cust Fcst'!$E9*'Non-Residential TSM UC Adj'!N10</f>
        <v>0</v>
      </c>
      <c r="O10" s="23">
        <f>'Sch DG-R Cust Fcst'!$E9*'Non-Residential TSM UC Adj'!O10</f>
        <v>0</v>
      </c>
      <c r="P10" s="23">
        <f>'Sch DG-R Cust Fcst'!$E9*'Non-Residential TSM UC Adj'!P10</f>
        <v>0</v>
      </c>
      <c r="Q10" s="41">
        <f>IF(SUM(N10:P10)=0,0,SUM(N10:P10)/'Sch DG-R Cust Fcst'!E9)</f>
        <v>0</v>
      </c>
      <c r="R10" s="109">
        <f t="shared" si="1"/>
        <v>4948.0982931893386</v>
      </c>
      <c r="S10" s="23">
        <f t="shared" si="2"/>
        <v>718.29191911453245</v>
      </c>
      <c r="T10" s="23">
        <f t="shared" si="3"/>
        <v>301.76349896014176</v>
      </c>
      <c r="U10" s="41">
        <f>IF(SUM(R10:T10)=0,0,SUM(R10:T10)/'Sch DG-R Cust Fcst'!F9)</f>
        <v>5968.1537112640135</v>
      </c>
      <c r="V10" s="33">
        <f>'Sch DG-R Cust Fcst'!$G9*'Non-Residential TSM UC Adj'!R10</f>
        <v>0</v>
      </c>
      <c r="W10" s="33">
        <f>'Sch DG-R Cust Fcst'!$G9*'Non-Residential TSM UC Adj'!S10</f>
        <v>0</v>
      </c>
      <c r="X10" s="33">
        <f>'Sch DG-R Cust Fcst'!$G9*'Non-Residential TSM UC Adj'!T10</f>
        <v>0</v>
      </c>
      <c r="Y10" s="41">
        <f>IF(SUM(V10:X10)=0,0,SUM(V10:X10)/'Sch DG-R Cust Fcst'!G9)</f>
        <v>0</v>
      </c>
      <c r="Z10" s="23">
        <f t="shared" si="4"/>
        <v>4948.0982931893386</v>
      </c>
      <c r="AA10" s="23">
        <f t="shared" si="0"/>
        <v>718.29191911453245</v>
      </c>
      <c r="AB10" s="23">
        <f t="shared" si="0"/>
        <v>301.76349896014176</v>
      </c>
      <c r="AC10" s="41">
        <f>IF(SUM(Z10:AB10)=0,0,SUM(Z10:AB10)/'Sch DG-R Cust Fcst'!H9)</f>
        <v>5968.1537112640135</v>
      </c>
    </row>
    <row r="11" spans="1:29" ht="13">
      <c r="A11" s="126" t="s">
        <v>97</v>
      </c>
      <c r="B11" s="109">
        <f>'Sch DG-R Cust Fcst'!$B10*'Non-Residential TSM UC Adj'!B11</f>
        <v>0</v>
      </c>
      <c r="C11" s="23">
        <f>'Sch DG-R Cust Fcst'!$B10*'Non-Residential TSM UC Adj'!C11</f>
        <v>0</v>
      </c>
      <c r="D11" s="23">
        <f>'Sch DG-R Cust Fcst'!$B10*'Non-Residential TSM UC Adj'!D11</f>
        <v>0</v>
      </c>
      <c r="E11" s="41">
        <f>IF(SUM(B11:D11)=0,0,SUM(B11:D11)/'Sch DG-R Cust Fcst'!B10)</f>
        <v>0</v>
      </c>
      <c r="F11" s="109">
        <f>'Sch DG-R Cust Fcst'!$C10*'Non-Residential TSM UC Adj'!F11</f>
        <v>0</v>
      </c>
      <c r="G11" s="23">
        <f>'Sch DG-R Cust Fcst'!$C10*'Non-Residential TSM UC Adj'!G11</f>
        <v>0</v>
      </c>
      <c r="H11" s="23">
        <f>'Sch DG-R Cust Fcst'!$C10*'Non-Residential TSM UC Adj'!H11</f>
        <v>0</v>
      </c>
      <c r="I11" s="41">
        <f>IF(SUM(F11:H11)=0,0,SUM(F11:H11)/'Sch DG-R Cust Fcst'!C10)</f>
        <v>0</v>
      </c>
      <c r="J11" s="109">
        <f>'Sch DG-R Cust Fcst'!$D10*'Non-Residential TSM UC Adj'!J11</f>
        <v>0</v>
      </c>
      <c r="K11" s="23">
        <f>'Sch DG-R Cust Fcst'!$D10*'Non-Residential TSM UC Adj'!K11</f>
        <v>0</v>
      </c>
      <c r="L11" s="23">
        <f>'Sch DG-R Cust Fcst'!$D10*'Non-Residential TSM UC Adj'!L11</f>
        <v>0</v>
      </c>
      <c r="M11" s="41">
        <f>IF(SUM(J11:L11)=0,0,SUM(J11:L11)/'Sch DG-R Cust Fcst'!D10)</f>
        <v>0</v>
      </c>
      <c r="N11" s="109">
        <f>'Sch DG-R Cust Fcst'!$E10*'Non-Residential TSM UC Adj'!N11</f>
        <v>0</v>
      </c>
      <c r="O11" s="23">
        <f>'Sch DG-R Cust Fcst'!$E10*'Non-Residential TSM UC Adj'!O11</f>
        <v>0</v>
      </c>
      <c r="P11" s="23">
        <f>'Sch DG-R Cust Fcst'!$E10*'Non-Residential TSM UC Adj'!P11</f>
        <v>0</v>
      </c>
      <c r="Q11" s="41">
        <f>IF(SUM(N11:P11)=0,0,SUM(N11:P11)/'Sch DG-R Cust Fcst'!E10)</f>
        <v>0</v>
      </c>
      <c r="R11" s="109">
        <f t="shared" si="1"/>
        <v>0</v>
      </c>
      <c r="S11" s="23">
        <f t="shared" si="2"/>
        <v>0</v>
      </c>
      <c r="T11" s="23">
        <f t="shared" si="3"/>
        <v>0</v>
      </c>
      <c r="U11" s="41">
        <f>IF(SUM(R11:T11)=0,0,SUM(R11:T11)/'Sch DG-R Cust Fcst'!F10)</f>
        <v>0</v>
      </c>
      <c r="V11" s="33">
        <f>'Sch DG-R Cust Fcst'!$G10*'Non-Residential TSM UC Adj'!R11</f>
        <v>0</v>
      </c>
      <c r="W11" s="33">
        <f>'Sch DG-R Cust Fcst'!$G10*'Non-Residential TSM UC Adj'!S11</f>
        <v>0</v>
      </c>
      <c r="X11" s="33">
        <f>'Sch DG-R Cust Fcst'!$G10*'Non-Residential TSM UC Adj'!T11</f>
        <v>0</v>
      </c>
      <c r="Y11" s="41">
        <f>IF(SUM(V11:X11)=0,0,SUM(V11:X11)/'Sch DG-R Cust Fcst'!G10)</f>
        <v>0</v>
      </c>
      <c r="Z11" s="23">
        <f t="shared" si="4"/>
        <v>0</v>
      </c>
      <c r="AA11" s="23">
        <f t="shared" si="0"/>
        <v>0</v>
      </c>
      <c r="AB11" s="23">
        <f t="shared" si="0"/>
        <v>0</v>
      </c>
      <c r="AC11" s="41">
        <f>IF(SUM(Z11:AB11)=0,0,SUM(Z11:AB11)/'Sch DG-R Cust Fcst'!H10)</f>
        <v>0</v>
      </c>
    </row>
    <row r="12" spans="1:29" ht="13">
      <c r="A12" s="126" t="s">
        <v>8</v>
      </c>
      <c r="B12" s="109">
        <f>'Sch DG-R Cust Fcst'!$B11*'Non-Residential TSM UC Adj'!B12</f>
        <v>4690.093592721636</v>
      </c>
      <c r="C12" s="23">
        <f>'Sch DG-R Cust Fcst'!$B11*'Non-Residential TSM UC Adj'!C12</f>
        <v>416.66793089405189</v>
      </c>
      <c r="D12" s="23">
        <f>'Sch DG-R Cust Fcst'!$B11*'Non-Residential TSM UC Adj'!D12</f>
        <v>234.29973156037588</v>
      </c>
      <c r="E12" s="41">
        <f>IF(SUM(B12:D12)=0,0,SUM(B12:D12)/'Sch DG-R Cust Fcst'!B11)</f>
        <v>5341.0612551760642</v>
      </c>
      <c r="F12" s="109">
        <f>'Sch DG-R Cust Fcst'!$C11*'Non-Residential TSM UC Adj'!F12</f>
        <v>0</v>
      </c>
      <c r="G12" s="23">
        <f>'Sch DG-R Cust Fcst'!$C11*'Non-Residential TSM UC Adj'!G12</f>
        <v>0</v>
      </c>
      <c r="H12" s="23">
        <f>'Sch DG-R Cust Fcst'!$C11*'Non-Residential TSM UC Adj'!H12</f>
        <v>0</v>
      </c>
      <c r="I12" s="41">
        <f>IF(SUM(F12:H12)=0,0,SUM(F12:H12)/'Sch DG-R Cust Fcst'!C11)</f>
        <v>0</v>
      </c>
      <c r="J12" s="109">
        <f>'Sch DG-R Cust Fcst'!$D11*'Non-Residential TSM UC Adj'!J12</f>
        <v>44532.884638704047</v>
      </c>
      <c r="K12" s="23">
        <f>'Sch DG-R Cust Fcst'!$D11*'Non-Residential TSM UC Adj'!K12</f>
        <v>2805.7053214268699</v>
      </c>
      <c r="L12" s="23">
        <f>'Sch DG-R Cust Fcst'!$D11*'Non-Residential TSM UC Adj'!L12</f>
        <v>905.29049688042528</v>
      </c>
      <c r="M12" s="41">
        <f>IF(SUM(J12:L12)=0,0,SUM(J12:L12)/'Sch DG-R Cust Fcst'!D11)</f>
        <v>16081.293485670447</v>
      </c>
      <c r="N12" s="109">
        <f>'Sch DG-R Cust Fcst'!$E11*'Non-Residential TSM UC Adj'!N12</f>
        <v>0</v>
      </c>
      <c r="O12" s="23">
        <f>'Sch DG-R Cust Fcst'!$E11*'Non-Residential TSM UC Adj'!O12</f>
        <v>0</v>
      </c>
      <c r="P12" s="23">
        <f>'Sch DG-R Cust Fcst'!$E11*'Non-Residential TSM UC Adj'!P12</f>
        <v>0</v>
      </c>
      <c r="Q12" s="41">
        <f>IF(SUM(N12:P12)=0,0,SUM(N12:P12)/'Sch DG-R Cust Fcst'!E11)</f>
        <v>0</v>
      </c>
      <c r="R12" s="109">
        <f t="shared" si="1"/>
        <v>49222.978231425681</v>
      </c>
      <c r="S12" s="23">
        <f t="shared" si="2"/>
        <v>3222.3732523209219</v>
      </c>
      <c r="T12" s="23">
        <f t="shared" si="3"/>
        <v>1139.5902284408012</v>
      </c>
      <c r="U12" s="41">
        <f>IF(SUM(R12:T12)=0,0,SUM(R12:T12)/'Sch DG-R Cust Fcst'!F11)</f>
        <v>13396.235428046852</v>
      </c>
      <c r="V12" s="33">
        <f>'Sch DG-R Cust Fcst'!$G11*'Non-Residential TSM UC Adj'!R12</f>
        <v>0</v>
      </c>
      <c r="W12" s="33">
        <f>'Sch DG-R Cust Fcst'!$G11*'Non-Residential TSM UC Adj'!S12</f>
        <v>0</v>
      </c>
      <c r="X12" s="33">
        <f>'Sch DG-R Cust Fcst'!$G11*'Non-Residential TSM UC Adj'!T12</f>
        <v>0</v>
      </c>
      <c r="Y12" s="41">
        <f>IF(SUM(V12:X12)=0,0,SUM(V12:X12)/'Sch DG-R Cust Fcst'!G11)</f>
        <v>0</v>
      </c>
      <c r="Z12" s="23">
        <f t="shared" si="4"/>
        <v>49222.978231425681</v>
      </c>
      <c r="AA12" s="23">
        <f t="shared" si="0"/>
        <v>3222.3732523209219</v>
      </c>
      <c r="AB12" s="23">
        <f t="shared" si="0"/>
        <v>1139.5902284408012</v>
      </c>
      <c r="AC12" s="41">
        <f>IF(SUM(Z12:AB12)=0,0,SUM(Z12:AB12)/'Sch DG-R Cust Fcst'!H11)</f>
        <v>13396.235428046852</v>
      </c>
    </row>
    <row r="13" spans="1:29" ht="13">
      <c r="A13" s="126" t="s">
        <v>9</v>
      </c>
      <c r="B13" s="109">
        <f>'Sch DG-R Cust Fcst'!$B12*'Non-Residential TSM UC Adj'!B13</f>
        <v>5150.0808789771727</v>
      </c>
      <c r="C13" s="23">
        <f>'Sch DG-R Cust Fcst'!$B12*'Non-Residential TSM UC Adj'!C13</f>
        <v>671.30102360008686</v>
      </c>
      <c r="D13" s="23">
        <f>'Sch DG-R Cust Fcst'!$B12*'Non-Residential TSM UC Adj'!D13</f>
        <v>234.29973156037588</v>
      </c>
      <c r="E13" s="41">
        <f>IF(SUM(B13:D13)=0,0,SUM(B13:D13)/'Sch DG-R Cust Fcst'!B12)</f>
        <v>6055.6816341376352</v>
      </c>
      <c r="F13" s="109">
        <f>'Sch DG-R Cust Fcst'!$C12*'Non-Residential TSM UC Adj'!F13</f>
        <v>0</v>
      </c>
      <c r="G13" s="23">
        <f>'Sch DG-R Cust Fcst'!$C12*'Non-Residential TSM UC Adj'!G13</f>
        <v>0</v>
      </c>
      <c r="H13" s="23">
        <f>'Sch DG-R Cust Fcst'!$C12*'Non-Residential TSM UC Adj'!H13</f>
        <v>0</v>
      </c>
      <c r="I13" s="41">
        <f>IF(SUM(F13:H13)=0,0,SUM(F13:H13)/'Sch DG-R Cust Fcst'!C12)</f>
        <v>0</v>
      </c>
      <c r="J13" s="109">
        <f>'Sch DG-R Cust Fcst'!$D12*'Non-Residential TSM UC Adj'!J13</f>
        <v>59377.17951827206</v>
      </c>
      <c r="K13" s="23">
        <f>'Sch DG-R Cust Fcst'!$D12*'Non-Residential TSM UC Adj'!K13</f>
        <v>5762.1997393613065</v>
      </c>
      <c r="L13" s="23">
        <f>'Sch DG-R Cust Fcst'!$D12*'Non-Residential TSM UC Adj'!L13</f>
        <v>1207.053995840567</v>
      </c>
      <c r="M13" s="41">
        <f>IF(SUM(J13:L13)=0,0,SUM(J13:L13)/'Sch DG-R Cust Fcst'!D12)</f>
        <v>16586.608313368484</v>
      </c>
      <c r="N13" s="109">
        <f>'Sch DG-R Cust Fcst'!$E12*'Non-Residential TSM UC Adj'!N13</f>
        <v>0</v>
      </c>
      <c r="O13" s="23">
        <f>'Sch DG-R Cust Fcst'!$E12*'Non-Residential TSM UC Adj'!O13</f>
        <v>0</v>
      </c>
      <c r="P13" s="23">
        <f>'Sch DG-R Cust Fcst'!$E12*'Non-Residential TSM UC Adj'!P13</f>
        <v>0</v>
      </c>
      <c r="Q13" s="41">
        <f>IF(SUM(N13:P13)=0,0,SUM(N13:P13)/'Sch DG-R Cust Fcst'!E12)</f>
        <v>0</v>
      </c>
      <c r="R13" s="109">
        <f t="shared" si="1"/>
        <v>64527.260397249236</v>
      </c>
      <c r="S13" s="23">
        <f t="shared" si="2"/>
        <v>6433.5007629613938</v>
      </c>
      <c r="T13" s="23">
        <f t="shared" si="3"/>
        <v>1441.3537274009429</v>
      </c>
      <c r="U13" s="41">
        <f>IF(SUM(R13:T13)=0,0,SUM(R13:T13)/'Sch DG-R Cust Fcst'!F12)</f>
        <v>14480.422977522316</v>
      </c>
      <c r="V13" s="33">
        <f>'Sch DG-R Cust Fcst'!$G12*'Non-Residential TSM UC Adj'!R13</f>
        <v>0</v>
      </c>
      <c r="W13" s="33">
        <f>'Sch DG-R Cust Fcst'!$G12*'Non-Residential TSM UC Adj'!S13</f>
        <v>0</v>
      </c>
      <c r="X13" s="33">
        <f>'Sch DG-R Cust Fcst'!$G12*'Non-Residential TSM UC Adj'!T13</f>
        <v>0</v>
      </c>
      <c r="Y13" s="41">
        <f>IF(SUM(V13:X13)=0,0,SUM(V13:X13)/'Sch DG-R Cust Fcst'!G12)</f>
        <v>0</v>
      </c>
      <c r="Z13" s="23">
        <f t="shared" si="4"/>
        <v>64527.260397249236</v>
      </c>
      <c r="AA13" s="23">
        <f t="shared" si="0"/>
        <v>6433.5007629613938</v>
      </c>
      <c r="AB13" s="23">
        <f t="shared" si="0"/>
        <v>1441.3537274009429</v>
      </c>
      <c r="AC13" s="41">
        <f>IF(SUM(Z13:AB13)=0,0,SUM(Z13:AB13)/'Sch DG-R Cust Fcst'!H12)</f>
        <v>14480.422977522316</v>
      </c>
    </row>
    <row r="14" spans="1:29" ht="13">
      <c r="A14" s="126" t="s">
        <v>10</v>
      </c>
      <c r="B14" s="109">
        <f>'Sch DG-R Cust Fcst'!$B13*'Non-Residential TSM UC Adj'!B14</f>
        <v>0</v>
      </c>
      <c r="C14" s="23">
        <f>'Sch DG-R Cust Fcst'!$B13*'Non-Residential TSM UC Adj'!C14</f>
        <v>0</v>
      </c>
      <c r="D14" s="23">
        <f>'Sch DG-R Cust Fcst'!$B13*'Non-Residential TSM UC Adj'!D14</f>
        <v>0</v>
      </c>
      <c r="E14" s="41">
        <f>IF(SUM(B14:D14)=0,0,SUM(B14:D14)/'Sch DG-R Cust Fcst'!B13)</f>
        <v>0</v>
      </c>
      <c r="F14" s="109">
        <f>'Sch DG-R Cust Fcst'!$C13*'Non-Residential TSM UC Adj'!F14</f>
        <v>0</v>
      </c>
      <c r="G14" s="23">
        <f>'Sch DG-R Cust Fcst'!$C13*'Non-Residential TSM UC Adj'!G14</f>
        <v>0</v>
      </c>
      <c r="H14" s="23">
        <f>'Sch DG-R Cust Fcst'!$C13*'Non-Residential TSM UC Adj'!H14</f>
        <v>0</v>
      </c>
      <c r="I14" s="41">
        <f>IF(SUM(F14:H14)=0,0,SUM(F14:H14)/'Sch DG-R Cust Fcst'!C13)</f>
        <v>0</v>
      </c>
      <c r="J14" s="109">
        <f>'Sch DG-R Cust Fcst'!$D13*'Non-Residential TSM UC Adj'!J14</f>
        <v>42987.695921781793</v>
      </c>
      <c r="K14" s="23">
        <f>'Sch DG-R Cust Fcst'!$D13*'Non-Residential TSM UC Adj'!K14</f>
        <v>7202.7496742016328</v>
      </c>
      <c r="L14" s="23">
        <f>'Sch DG-R Cust Fcst'!$D13*'Non-Residential TSM UC Adj'!L14</f>
        <v>1508.8174948007088</v>
      </c>
      <c r="M14" s="41">
        <f>IF(SUM(J14:L14)=0,0,SUM(J14:L14)/'Sch DG-R Cust Fcst'!D13)</f>
        <v>10339.852618156827</v>
      </c>
      <c r="N14" s="109">
        <f>'Sch DG-R Cust Fcst'!$E13*'Non-Residential TSM UC Adj'!N14</f>
        <v>43775.961368578901</v>
      </c>
      <c r="O14" s="23">
        <f>'Sch DG-R Cust Fcst'!$E13*'Non-Residential TSM UC Adj'!O14</f>
        <v>7202.7496742016328</v>
      </c>
      <c r="P14" s="23">
        <f>'Sch DG-R Cust Fcst'!$E13*'Non-Residential TSM UC Adj'!P14</f>
        <v>1508.8174948007088</v>
      </c>
      <c r="Q14" s="41">
        <f>IF(SUM(N14:P14)=0,0,SUM(N14:P14)/'Sch DG-R Cust Fcst'!E13)</f>
        <v>10497.505707516248</v>
      </c>
      <c r="R14" s="109">
        <f t="shared" si="1"/>
        <v>86763.657290360687</v>
      </c>
      <c r="S14" s="23">
        <f t="shared" si="2"/>
        <v>14405.499348403266</v>
      </c>
      <c r="T14" s="23">
        <f t="shared" si="3"/>
        <v>3017.6349896014176</v>
      </c>
      <c r="U14" s="41">
        <f>IF(SUM(R14:T14)=0,0,SUM(R14:T14)/'Sch DG-R Cust Fcst'!F13)</f>
        <v>10418.679162836535</v>
      </c>
      <c r="V14" s="33">
        <f>'Sch DG-R Cust Fcst'!$G13*'Non-Residential TSM UC Adj'!R14</f>
        <v>0</v>
      </c>
      <c r="W14" s="33">
        <f>'Sch DG-R Cust Fcst'!$G13*'Non-Residential TSM UC Adj'!S14</f>
        <v>0</v>
      </c>
      <c r="X14" s="33">
        <f>'Sch DG-R Cust Fcst'!$G13*'Non-Residential TSM UC Adj'!T14</f>
        <v>0</v>
      </c>
      <c r="Y14" s="41">
        <f>IF(SUM(V14:X14)=0,0,SUM(V14:X14)/'Sch DG-R Cust Fcst'!G13)</f>
        <v>0</v>
      </c>
      <c r="Z14" s="23">
        <f t="shared" si="4"/>
        <v>86763.657290360687</v>
      </c>
      <c r="AA14" s="23">
        <f t="shared" si="0"/>
        <v>14405.499348403266</v>
      </c>
      <c r="AB14" s="23">
        <f t="shared" si="0"/>
        <v>3017.6349896014176</v>
      </c>
      <c r="AC14" s="41">
        <f>IF(SUM(Z14:AB14)=0,0,SUM(Z14:AB14)/'Sch DG-R Cust Fcst'!H13)</f>
        <v>10418.679162836535</v>
      </c>
    </row>
    <row r="15" spans="1:29" ht="13">
      <c r="A15" s="126" t="s">
        <v>11</v>
      </c>
      <c r="B15" s="109">
        <f>'Sch DG-R Cust Fcst'!$B14*'Non-Residential TSM UC Adj'!B15</f>
        <v>0</v>
      </c>
      <c r="C15" s="23">
        <f>'Sch DG-R Cust Fcst'!$B14*'Non-Residential TSM UC Adj'!C15</f>
        <v>0</v>
      </c>
      <c r="D15" s="23">
        <f>'Sch DG-R Cust Fcst'!$B14*'Non-Residential TSM UC Adj'!D15</f>
        <v>0</v>
      </c>
      <c r="E15" s="41">
        <f>IF(SUM(B15:D15)=0,0,SUM(B15:D15)/'Sch DG-R Cust Fcst'!B14)</f>
        <v>0</v>
      </c>
      <c r="F15" s="109">
        <f>'Sch DG-R Cust Fcst'!$C14*'Non-Residential TSM UC Adj'!F15</f>
        <v>8339.1934513193628</v>
      </c>
      <c r="G15" s="23">
        <f>'Sch DG-R Cust Fcst'!$C14*'Non-Residential TSM UC Adj'!G15</f>
        <v>2881.0998696806532</v>
      </c>
      <c r="H15" s="23">
        <f>'Sch DG-R Cust Fcst'!$C14*'Non-Residential TSM UC Adj'!H15</f>
        <v>865.67585029149416</v>
      </c>
      <c r="I15" s="41">
        <f>IF(SUM(F15:H15)=0,0,SUM(F15:H15)/'Sch DG-R Cust Fcst'!C14)</f>
        <v>12085.96917129151</v>
      </c>
      <c r="J15" s="109">
        <f>'Sch DG-R Cust Fcst'!$D14*'Non-Residential TSM UC Adj'!J15</f>
        <v>51585.235106138156</v>
      </c>
      <c r="K15" s="23">
        <f>'Sch DG-R Cust Fcst'!$D14*'Non-Residential TSM UC Adj'!K15</f>
        <v>8643.2996090419601</v>
      </c>
      <c r="L15" s="23">
        <f>'Sch DG-R Cust Fcst'!$D14*'Non-Residential TSM UC Adj'!L15</f>
        <v>2597.0275508744826</v>
      </c>
      <c r="M15" s="41">
        <f>IF(SUM(J15:L15)=0,0,SUM(J15:L15)/'Sch DG-R Cust Fcst'!D14)</f>
        <v>20941.854088684868</v>
      </c>
      <c r="N15" s="109">
        <f>'Sch DG-R Cust Fcst'!$E14*'Non-Residential TSM UC Adj'!N15</f>
        <v>262655.76821147342</v>
      </c>
      <c r="O15" s="23">
        <f>'Sch DG-R Cust Fcst'!$E14*'Non-Residential TSM UC Adj'!O15</f>
        <v>21608.249022604898</v>
      </c>
      <c r="P15" s="23">
        <f>'Sch DG-R Cust Fcst'!$E14*'Non-Residential TSM UC Adj'!P15</f>
        <v>12985.137754372412</v>
      </c>
      <c r="Q15" s="41">
        <f>IF(SUM(N15:P15)=0,0,SUM(N15:P15)/'Sch DG-R Cust Fcst'!E14)</f>
        <v>19816.610332563385</v>
      </c>
      <c r="R15" s="109">
        <f t="shared" si="1"/>
        <v>322580.19676893094</v>
      </c>
      <c r="S15" s="23">
        <f t="shared" si="2"/>
        <v>33132.648501327509</v>
      </c>
      <c r="T15" s="23">
        <f t="shared" si="3"/>
        <v>16447.84115553839</v>
      </c>
      <c r="U15" s="41">
        <f>IF(SUM(R15:T15)=0,0,SUM(R15:T15)/'Sch DG-R Cust Fcst'!F14)</f>
        <v>19587.40454872615</v>
      </c>
      <c r="V15" s="33">
        <f>'Sch DG-R Cust Fcst'!$G14*'Non-Residential TSM UC Adj'!R15</f>
        <v>0</v>
      </c>
      <c r="W15" s="33">
        <f>'Sch DG-R Cust Fcst'!$G14*'Non-Residential TSM UC Adj'!S15</f>
        <v>6259.854625884439</v>
      </c>
      <c r="X15" s="33">
        <f>'Sch DG-R Cust Fcst'!$G14*'Non-Residential TSM UC Adj'!T15</f>
        <v>1935.6432767052083</v>
      </c>
      <c r="Y15" s="41">
        <f>IF(SUM(V15:X15)=0,0,SUM(V15:X15)/'Sch DG-R Cust Fcst'!G14)</f>
        <v>4097.7489512948232</v>
      </c>
      <c r="Z15" s="23">
        <f t="shared" si="4"/>
        <v>322580.19676893094</v>
      </c>
      <c r="AA15" s="23">
        <f t="shared" si="0"/>
        <v>39392.503127211945</v>
      </c>
      <c r="AB15" s="23">
        <f t="shared" si="0"/>
        <v>18383.484432243597</v>
      </c>
      <c r="AC15" s="41">
        <f>IF(SUM(Z15:AB15)=0,0,SUM(Z15:AB15)/'Sch DG-R Cust Fcst'!H14)</f>
        <v>18112.199253732688</v>
      </c>
    </row>
    <row r="16" spans="1:29" ht="13">
      <c r="A16" s="126" t="s">
        <v>101</v>
      </c>
      <c r="B16" s="109">
        <f>'Sch DG-R Cust Fcst'!$B15*'Non-Residential TSM UC Adj'!B16</f>
        <v>0</v>
      </c>
      <c r="C16" s="23">
        <f>'Sch DG-R Cust Fcst'!$B15*'Non-Residential TSM UC Adj'!C16</f>
        <v>0</v>
      </c>
      <c r="D16" s="23">
        <f>'Sch DG-R Cust Fcst'!$B15*'Non-Residential TSM UC Adj'!D16</f>
        <v>0</v>
      </c>
      <c r="E16" s="41">
        <f>IF(SUM(B16:D16)=0,0,SUM(B16:D16)/'Sch DG-R Cust Fcst'!B15)</f>
        <v>0</v>
      </c>
      <c r="F16" s="109">
        <f>'Sch DG-R Cust Fcst'!$C15*'Non-Residential TSM UC Adj'!F16</f>
        <v>0</v>
      </c>
      <c r="G16" s="23">
        <f>'Sch DG-R Cust Fcst'!$C15*'Non-Residential TSM UC Adj'!G16</f>
        <v>0</v>
      </c>
      <c r="H16" s="23">
        <f>'Sch DG-R Cust Fcst'!$C15*'Non-Residential TSM UC Adj'!H16</f>
        <v>0</v>
      </c>
      <c r="I16" s="41">
        <f>IF(SUM(F16:H16)=0,0,SUM(F16:H16)/'Sch DG-R Cust Fcst'!C15)</f>
        <v>0</v>
      </c>
      <c r="J16" s="109">
        <f>'Sch DG-R Cust Fcst'!$D15*'Non-Residential TSM UC Adj'!J16</f>
        <v>58125.411652796705</v>
      </c>
      <c r="K16" s="23">
        <f>'Sch DG-R Cust Fcst'!$D15*'Non-Residential TSM UC Adj'!K16</f>
        <v>23288.283695546896</v>
      </c>
      <c r="L16" s="23">
        <f>'Sch DG-R Cust Fcst'!$D15*'Non-Residential TSM UC Adj'!L16</f>
        <v>5194.0551017489652</v>
      </c>
      <c r="M16" s="41">
        <f>IF(SUM(J16:L16)=0,0,SUM(J16:L16)/'Sch DG-R Cust Fcst'!D15)</f>
        <v>14434.625075015429</v>
      </c>
      <c r="N16" s="109">
        <f>'Sch DG-R Cust Fcst'!$E15*'Non-Residential TSM UC Adj'!N16</f>
        <v>100886.55924082494</v>
      </c>
      <c r="O16" s="23">
        <f>'Sch DG-R Cust Fcst'!$E15*'Non-Residential TSM UC Adj'!O16</f>
        <v>21347.593387584657</v>
      </c>
      <c r="P16" s="23">
        <f>'Sch DG-R Cust Fcst'!$E15*'Non-Residential TSM UC Adj'!P16</f>
        <v>9522.4343532064358</v>
      </c>
      <c r="Q16" s="41">
        <f>IF(SUM(N16:P16)=0,0,SUM(N16:P16)/'Sch DG-R Cust Fcst'!E15)</f>
        <v>11977.871543783274</v>
      </c>
      <c r="R16" s="109">
        <f t="shared" si="1"/>
        <v>159011.97089362165</v>
      </c>
      <c r="S16" s="23">
        <f t="shared" si="2"/>
        <v>44635.877083131549</v>
      </c>
      <c r="T16" s="23">
        <f t="shared" si="3"/>
        <v>14716.489454955401</v>
      </c>
      <c r="U16" s="41">
        <f>IF(SUM(R16:T16)=0,0,SUM(R16:T16)/'Sch DG-R Cust Fcst'!F15)</f>
        <v>12844.961025394623</v>
      </c>
      <c r="V16" s="33">
        <f>'Sch DG-R Cust Fcst'!$G15*'Non-Residential TSM UC Adj'!R16</f>
        <v>0</v>
      </c>
      <c r="W16" s="33">
        <f>'Sch DG-R Cust Fcst'!$G15*'Non-Residential TSM UC Adj'!S16</f>
        <v>3129.9273129422195</v>
      </c>
      <c r="X16" s="33">
        <f>'Sch DG-R Cust Fcst'!$G15*'Non-Residential TSM UC Adj'!T16</f>
        <v>967.82163835260417</v>
      </c>
      <c r="Y16" s="41">
        <f>IF(SUM(V16:X16)=0,0,SUM(V16:X16)/'Sch DG-R Cust Fcst'!G15)</f>
        <v>4097.7489512948232</v>
      </c>
      <c r="Z16" s="23">
        <f t="shared" si="4"/>
        <v>159011.97089362165</v>
      </c>
      <c r="AA16" s="23">
        <f t="shared" si="0"/>
        <v>47765.80439607377</v>
      </c>
      <c r="AB16" s="23">
        <f t="shared" si="0"/>
        <v>15684.311093308006</v>
      </c>
      <c r="AC16" s="41">
        <f>IF(SUM(Z16:AB16)=0,0,SUM(Z16:AB16)/'Sch DG-R Cust Fcst'!H15)</f>
        <v>12359.004799055745</v>
      </c>
    </row>
    <row r="17" spans="1:29" ht="13">
      <c r="A17" s="126" t="s">
        <v>102</v>
      </c>
      <c r="B17" s="109">
        <f>'Sch DG-R Cust Fcst'!$B16*'Non-Residential TSM UC Adj'!J17</f>
        <v>0</v>
      </c>
      <c r="C17" s="23">
        <f>'Sch DG-R Cust Fcst'!$B16*'Non-Residential TSM UC Adj'!K17</f>
        <v>0</v>
      </c>
      <c r="D17" s="23">
        <f>'Sch DG-R Cust Fcst'!$B16*'Non-Residential TSM UC Adj'!L17</f>
        <v>0</v>
      </c>
      <c r="E17" s="41">
        <f>IF(SUM(B17:D17)=0,0,SUM(B17:D17)/'Sch DG-R Cust Fcst'!B16)</f>
        <v>0</v>
      </c>
      <c r="F17" s="109">
        <f>'Sch DG-R Cust Fcst'!$C16*'Non-Residential TSM UC Adj'!F17</f>
        <v>0</v>
      </c>
      <c r="G17" s="23">
        <f>'Sch DG-R Cust Fcst'!$C16*'Non-Residential TSM UC Adj'!G17</f>
        <v>0</v>
      </c>
      <c r="H17" s="23">
        <f>'Sch DG-R Cust Fcst'!$C16*'Non-Residential TSM UC Adj'!H17</f>
        <v>0</v>
      </c>
      <c r="I17" s="41">
        <f>IF(SUM(F17:H17)=0,0,SUM(F17:H17)/'Sch DG-R Cust Fcst'!C16)</f>
        <v>0</v>
      </c>
      <c r="J17" s="109">
        <f>'Sch DG-R Cust Fcst'!$D16*'Non-Residential TSM UC Adj'!J17</f>
        <v>9687.5686087994509</v>
      </c>
      <c r="K17" s="23">
        <f>'Sch DG-R Cust Fcst'!$D16*'Non-Residential TSM UC Adj'!K17</f>
        <v>3881.3806159244828</v>
      </c>
      <c r="L17" s="23">
        <f>'Sch DG-R Cust Fcst'!$D16*'Non-Residential TSM UC Adj'!L17</f>
        <v>865.67585029149416</v>
      </c>
      <c r="M17" s="41">
        <f>IF(SUM(J17:L17)=0,0,SUM(J17:L17)/'Sch DG-R Cust Fcst'!D16)</f>
        <v>14434.625075015429</v>
      </c>
      <c r="N17" s="109">
        <f>'Sch DG-R Cust Fcst'!$E16*'Non-Residential TSM UC Adj'!N17</f>
        <v>137572.58078294309</v>
      </c>
      <c r="O17" s="23">
        <f>'Sch DG-R Cust Fcst'!$E16*'Non-Residential TSM UC Adj'!O17</f>
        <v>29110.35461943362</v>
      </c>
      <c r="P17" s="23">
        <f>'Sch DG-R Cust Fcst'!$E16*'Non-Residential TSM UC Adj'!P17</f>
        <v>12985.137754372412</v>
      </c>
      <c r="Q17" s="41">
        <f>IF(SUM(N17:P17)=0,0,SUM(N17:P17)/'Sch DG-R Cust Fcst'!E16)</f>
        <v>11977.871543783274</v>
      </c>
      <c r="R17" s="109">
        <f t="shared" si="1"/>
        <v>147260.14939174254</v>
      </c>
      <c r="S17" s="23">
        <f t="shared" si="2"/>
        <v>32991.735235358101</v>
      </c>
      <c r="T17" s="23">
        <f t="shared" si="3"/>
        <v>13850.813604663907</v>
      </c>
      <c r="U17" s="41">
        <f>IF(SUM(R17:T17)=0,0,SUM(R17:T17)/'Sch DG-R Cust Fcst'!F16)</f>
        <v>12131.418639485284</v>
      </c>
      <c r="V17" s="33">
        <f>'Sch DG-R Cust Fcst'!$G16*'Non-Residential TSM UC Adj'!R17</f>
        <v>0</v>
      </c>
      <c r="W17" s="33">
        <f>'Sch DG-R Cust Fcst'!$G16*'Non-Residential TSM UC Adj'!S17</f>
        <v>0</v>
      </c>
      <c r="X17" s="33">
        <f>'Sch DG-R Cust Fcst'!$G16*'Non-Residential TSM UC Adj'!T17</f>
        <v>0</v>
      </c>
      <c r="Y17" s="41">
        <f>IF(SUM(V17:X17)=0,0,SUM(V17:X17)/'Sch DG-R Cust Fcst'!G16)</f>
        <v>0</v>
      </c>
      <c r="Z17" s="23">
        <f t="shared" si="4"/>
        <v>147260.14939174254</v>
      </c>
      <c r="AA17" s="23">
        <f t="shared" si="0"/>
        <v>32991.735235358101</v>
      </c>
      <c r="AB17" s="23">
        <f t="shared" si="0"/>
        <v>13850.813604663907</v>
      </c>
      <c r="AC17" s="41">
        <f>IF(SUM(Z17:AB17)=0,0,SUM(Z17:AB17)/'Sch DG-R Cust Fcst'!H16)</f>
        <v>12131.418639485284</v>
      </c>
    </row>
    <row r="18" spans="1:29" ht="13">
      <c r="A18" s="126" t="s">
        <v>12</v>
      </c>
      <c r="B18" s="109">
        <f>'Sch DG-R Cust Fcst'!$B17*'Non-Residential TSM UC Adj'!J18</f>
        <v>0</v>
      </c>
      <c r="C18" s="23">
        <f>'Sch DG-R Cust Fcst'!$B17*'Non-Residential TSM UC Adj'!K18</f>
        <v>0</v>
      </c>
      <c r="D18" s="23">
        <f>'Sch DG-R Cust Fcst'!$B17*'Non-Residential TSM UC Adj'!L18</f>
        <v>0</v>
      </c>
      <c r="E18" s="41">
        <f>IF(SUM(B18:D18)=0,0,SUM(B18:D18)/'Sch DG-R Cust Fcst'!B17)</f>
        <v>0</v>
      </c>
      <c r="F18" s="109">
        <f>'Sch DG-R Cust Fcst'!$C17*'Non-Residential TSM UC Adj'!J18</f>
        <v>0</v>
      </c>
      <c r="G18" s="23">
        <f>'Sch DG-R Cust Fcst'!$C17*'Non-Residential TSM UC Adj'!K18</f>
        <v>0</v>
      </c>
      <c r="H18" s="23">
        <f>'Sch DG-R Cust Fcst'!$C17*'Non-Residential TSM UC Adj'!L18</f>
        <v>0</v>
      </c>
      <c r="I18" s="41">
        <f>IF(SUM(F18:H18)=0,0,SUM(F18:H18)/'Sch DG-R Cust Fcst'!C17)</f>
        <v>0</v>
      </c>
      <c r="J18" s="109">
        <f>'Sch DG-R Cust Fcst'!$D17*'Non-Residential TSM UC Adj'!J18</f>
        <v>38750.274435197804</v>
      </c>
      <c r="K18" s="23">
        <f>'Sch DG-R Cust Fcst'!$D17*'Non-Residential TSM UC Adj'!K18</f>
        <v>12664.764020355004</v>
      </c>
      <c r="L18" s="23">
        <f>'Sch DG-R Cust Fcst'!$D17*'Non-Residential TSM UC Adj'!L18</f>
        <v>1731.3517005829883</v>
      </c>
      <c r="M18" s="41">
        <f>IF(SUM(J18:L18)=0,0,SUM(J18:L18)/'Sch DG-R Cust Fcst'!D17)</f>
        <v>26573.195078067896</v>
      </c>
      <c r="N18" s="109">
        <f>'Sch DG-R Cust Fcst'!$E17*'Non-Residential TSM UC Adj'!N18</f>
        <v>256802.15079482709</v>
      </c>
      <c r="O18" s="23">
        <f>'Sch DG-R Cust Fcst'!$E17*'Non-Residential TSM UC Adj'!O18</f>
        <v>44326.674071242509</v>
      </c>
      <c r="P18" s="23">
        <f>'Sch DG-R Cust Fcst'!$E17*'Non-Residential TSM UC Adj'!P18</f>
        <v>12119.461904080918</v>
      </c>
      <c r="Q18" s="41">
        <f>IF(SUM(N18:P18)=0,0,SUM(N18:P18)/'Sch DG-R Cust Fcst'!E17)</f>
        <v>22374.877626439324</v>
      </c>
      <c r="R18" s="109">
        <f t="shared" si="1"/>
        <v>295552.42523002491</v>
      </c>
      <c r="S18" s="23">
        <f t="shared" si="2"/>
        <v>56991.438091597513</v>
      </c>
      <c r="T18" s="23">
        <f t="shared" si="3"/>
        <v>13850.813604663907</v>
      </c>
      <c r="U18" s="41">
        <f>IF(SUM(R18:T18)=0,0,SUM(R18:T18)/'Sch DG-R Cust Fcst'!F17)</f>
        <v>22899.667307892894</v>
      </c>
      <c r="V18" s="33">
        <f>'Sch DG-R Cust Fcst'!$G17*'Non-Residential TSM UC Adj'!R18</f>
        <v>0</v>
      </c>
      <c r="W18" s="33">
        <f>'Sch DG-R Cust Fcst'!$G17*'Non-Residential TSM UC Adj'!S18</f>
        <v>9389.781938826658</v>
      </c>
      <c r="X18" s="33">
        <f>'Sch DG-R Cust Fcst'!$G17*'Non-Residential TSM UC Adj'!T18</f>
        <v>2903.4649150578125</v>
      </c>
      <c r="Y18" s="41">
        <f>IF(SUM(V18:X18)=0,0,SUM(V18:X18)/'Sch DG-R Cust Fcst'!G17)</f>
        <v>4097.7489512948232</v>
      </c>
      <c r="Z18" s="23">
        <f t="shared" si="4"/>
        <v>295552.42523002491</v>
      </c>
      <c r="AA18" s="23">
        <f t="shared" si="0"/>
        <v>66381.220030424171</v>
      </c>
      <c r="AB18" s="23">
        <f t="shared" si="0"/>
        <v>16754.27851972172</v>
      </c>
      <c r="AC18" s="41">
        <f>IF(SUM(Z18:AB18)=0,0,SUM(Z18:AB18)/'Sch DG-R Cust Fcst'!H17)</f>
        <v>19930.943356851094</v>
      </c>
    </row>
    <row r="19" spans="1:29" ht="13">
      <c r="A19" s="126" t="s">
        <v>13</v>
      </c>
      <c r="B19" s="109">
        <f>'Sch DG-R Cust Fcst'!$B18*'Non-Residential TSM UC Adj'!J19</f>
        <v>0</v>
      </c>
      <c r="C19" s="23">
        <f>'Sch DG-R Cust Fcst'!$B18*'Non-Residential TSM UC Adj'!K19</f>
        <v>0</v>
      </c>
      <c r="D19" s="23">
        <f>'Sch DG-R Cust Fcst'!$B18*'Non-Residential TSM UC Adj'!L19</f>
        <v>0</v>
      </c>
      <c r="E19" s="41">
        <f>IF(SUM(B19:D19)=0,0,SUM(B19:D19)/'Sch DG-R Cust Fcst'!B18)</f>
        <v>0</v>
      </c>
      <c r="F19" s="109">
        <f>'Sch DG-R Cust Fcst'!$C18*'Non-Residential TSM UC Adj'!J19</f>
        <v>0</v>
      </c>
      <c r="G19" s="23">
        <f>'Sch DG-R Cust Fcst'!$C18*'Non-Residential TSM UC Adj'!K19</f>
        <v>0</v>
      </c>
      <c r="H19" s="23">
        <f>'Sch DG-R Cust Fcst'!$C18*'Non-Residential TSM UC Adj'!L19</f>
        <v>0</v>
      </c>
      <c r="I19" s="41">
        <f>IF(SUM(F19:H19)=0,0,SUM(F19:H19)/'Sch DG-R Cust Fcst'!C18)</f>
        <v>0</v>
      </c>
      <c r="J19" s="109">
        <f>'Sch DG-R Cust Fcst'!$D18*'Non-Residential TSM UC Adj'!J19</f>
        <v>0</v>
      </c>
      <c r="K19" s="23">
        <f>'Sch DG-R Cust Fcst'!$D18*'Non-Residential TSM UC Adj'!K19</f>
        <v>0</v>
      </c>
      <c r="L19" s="23">
        <f>'Sch DG-R Cust Fcst'!$D18*'Non-Residential TSM UC Adj'!L19</f>
        <v>0</v>
      </c>
      <c r="M19" s="41">
        <f>IF(SUM(J19:L19)=0,0,SUM(J19:L19)/'Sch DG-R Cust Fcst'!D18)</f>
        <v>0</v>
      </c>
      <c r="N19" s="109">
        <f>'Sch DG-R Cust Fcst'!$E18*'Non-Residential TSM UC Adj'!N19</f>
        <v>99250.808311936678</v>
      </c>
      <c r="O19" s="23">
        <f>'Sch DG-R Cust Fcst'!$E18*'Non-Residential TSM UC Adj'!O19</f>
        <v>31051.044927395862</v>
      </c>
      <c r="P19" s="23">
        <f>'Sch DG-R Cust Fcst'!$E18*'Non-Residential TSM UC Adj'!P19</f>
        <v>6925.4068023319533</v>
      </c>
      <c r="Q19" s="41">
        <f>IF(SUM(N19:P19)=0,0,SUM(N19:P19)/'Sch DG-R Cust Fcst'!E18)</f>
        <v>17153.407505208063</v>
      </c>
      <c r="R19" s="109">
        <f t="shared" si="1"/>
        <v>99250.808311936678</v>
      </c>
      <c r="S19" s="23">
        <f t="shared" si="2"/>
        <v>31051.044927395862</v>
      </c>
      <c r="T19" s="23">
        <f t="shared" si="3"/>
        <v>6925.4068023319533</v>
      </c>
      <c r="U19" s="41">
        <f>IF(SUM(R19:T19)=0,0,SUM(R19:T19)/'Sch DG-R Cust Fcst'!F18)</f>
        <v>17153.407505208063</v>
      </c>
      <c r="V19" s="33">
        <f>'Sch DG-R Cust Fcst'!$G18*'Non-Residential TSM UC Adj'!R19</f>
        <v>0</v>
      </c>
      <c r="W19" s="33">
        <f>'Sch DG-R Cust Fcst'!$G18*'Non-Residential TSM UC Adj'!S19</f>
        <v>0</v>
      </c>
      <c r="X19" s="33">
        <f>'Sch DG-R Cust Fcst'!$G18*'Non-Residential TSM UC Adj'!T19</f>
        <v>0</v>
      </c>
      <c r="Y19" s="41">
        <f>IF(SUM(V19:X19)=0,0,SUM(V19:X19)/'Sch DG-R Cust Fcst'!G18)</f>
        <v>0</v>
      </c>
      <c r="Z19" s="23">
        <f t="shared" si="4"/>
        <v>99250.808311936678</v>
      </c>
      <c r="AA19" s="23">
        <f t="shared" si="0"/>
        <v>31051.044927395862</v>
      </c>
      <c r="AB19" s="23">
        <f t="shared" si="0"/>
        <v>6925.4068023319533</v>
      </c>
      <c r="AC19" s="41">
        <f>IF(SUM(Z19:AB19)=0,0,SUM(Z19:AB19)/'Sch DG-R Cust Fcst'!H18)</f>
        <v>17153.407505208063</v>
      </c>
    </row>
    <row r="20" spans="1:29" ht="13">
      <c r="A20" s="126" t="s">
        <v>103</v>
      </c>
      <c r="B20" s="109">
        <f>'Sch DG-R Cust Fcst'!$B19*'Non-Residential TSM UC Adj'!J20</f>
        <v>0</v>
      </c>
      <c r="C20" s="23">
        <f>'Sch DG-R Cust Fcst'!$B19*'Non-Residential TSM UC Adj'!K20</f>
        <v>0</v>
      </c>
      <c r="D20" s="23">
        <f>'Sch DG-R Cust Fcst'!$B19*'Non-Residential TSM UC Adj'!L20</f>
        <v>0</v>
      </c>
      <c r="E20" s="41">
        <f>IF(SUM(B20:D20)=0,0,SUM(B20:D20)/'Sch DG-R Cust Fcst'!B19)</f>
        <v>0</v>
      </c>
      <c r="F20" s="109">
        <f>'Sch DG-R Cust Fcst'!$C19*'Non-Residential TSM UC Adj'!J20</f>
        <v>0</v>
      </c>
      <c r="G20" s="23">
        <f>'Sch DG-R Cust Fcst'!$C19*'Non-Residential TSM UC Adj'!K20</f>
        <v>0</v>
      </c>
      <c r="H20" s="23">
        <f>'Sch DG-R Cust Fcst'!$C19*'Non-Residential TSM UC Adj'!L20</f>
        <v>0</v>
      </c>
      <c r="I20" s="41">
        <f>IF(SUM(F20:H20)=0,0,SUM(F20:H20)/'Sch DG-R Cust Fcst'!C19)</f>
        <v>0</v>
      </c>
      <c r="J20" s="109">
        <f>'Sch DG-R Cust Fcst'!$D19*'Non-Residential TSM UC Adj'!J20</f>
        <v>0</v>
      </c>
      <c r="K20" s="23">
        <f>'Sch DG-R Cust Fcst'!$D19*'Non-Residential TSM UC Adj'!K20</f>
        <v>0</v>
      </c>
      <c r="L20" s="23">
        <f>'Sch DG-R Cust Fcst'!$D19*'Non-Residential TSM UC Adj'!L20</f>
        <v>0</v>
      </c>
      <c r="M20" s="41">
        <f>IF(SUM(J20:L20)=0,0,SUM(J20:L20)/'Sch DG-R Cust Fcst'!D19)</f>
        <v>0</v>
      </c>
      <c r="N20" s="109">
        <f>'Sch DG-R Cust Fcst'!$E19*'Non-Residential TSM UC Adj'!N20</f>
        <v>42505.371858509359</v>
      </c>
      <c r="O20" s="23">
        <f>'Sch DG-R Cust Fcst'!$E19*'Non-Residential TSM UC Adj'!O20</f>
        <v>11644.141847773448</v>
      </c>
      <c r="P20" s="23">
        <f>'Sch DG-R Cust Fcst'!$E19*'Non-Residential TSM UC Adj'!P20</f>
        <v>2597.0275508744826</v>
      </c>
      <c r="Q20" s="41">
        <f>IF(SUM(N20:P20)=0,0,SUM(N20:P20)/'Sch DG-R Cust Fcst'!E19)</f>
        <v>18915.513752385763</v>
      </c>
      <c r="R20" s="109">
        <f t="shared" si="1"/>
        <v>42505.371858509359</v>
      </c>
      <c r="S20" s="23">
        <f t="shared" si="2"/>
        <v>11644.141847773448</v>
      </c>
      <c r="T20" s="23">
        <f t="shared" si="3"/>
        <v>2597.0275508744826</v>
      </c>
      <c r="U20" s="41">
        <f>IF(SUM(R20:T20)=0,0,SUM(R20:T20)/'Sch DG-R Cust Fcst'!F19)</f>
        <v>18915.513752385763</v>
      </c>
      <c r="V20" s="33">
        <f>'Sch DG-R Cust Fcst'!$G19*'Non-Residential TSM UC Adj'!R20</f>
        <v>0</v>
      </c>
      <c r="W20" s="33">
        <f>'Sch DG-R Cust Fcst'!$G19*'Non-Residential TSM UC Adj'!S20</f>
        <v>3129.9273129422195</v>
      </c>
      <c r="X20" s="33">
        <f>'Sch DG-R Cust Fcst'!$G19*'Non-Residential TSM UC Adj'!T20</f>
        <v>967.82163835260417</v>
      </c>
      <c r="Y20" s="41">
        <f>IF(SUM(V20:X20)=0,0,SUM(V20:X20)/'Sch DG-R Cust Fcst'!G19)</f>
        <v>4097.7489512948232</v>
      </c>
      <c r="Z20" s="23">
        <f t="shared" si="4"/>
        <v>42505.371858509359</v>
      </c>
      <c r="AA20" s="23">
        <f t="shared" si="0"/>
        <v>14774.069160715668</v>
      </c>
      <c r="AB20" s="23">
        <f t="shared" si="0"/>
        <v>3564.8491892270868</v>
      </c>
      <c r="AC20" s="41">
        <f>IF(SUM(Z20:AB20)=0,0,SUM(Z20:AB20)/'Sch DG-R Cust Fcst'!H19)</f>
        <v>15211.07255211303</v>
      </c>
    </row>
    <row r="21" spans="1:29" ht="13">
      <c r="A21" s="126" t="s">
        <v>104</v>
      </c>
      <c r="B21" s="109">
        <f>'Sch DG-R Cust Fcst'!$B20*'Non-Residential TSM UC Adj'!J21</f>
        <v>0</v>
      </c>
      <c r="C21" s="23">
        <f>'Sch DG-R Cust Fcst'!$B20*'Non-Residential TSM UC Adj'!K21</f>
        <v>0</v>
      </c>
      <c r="D21" s="23">
        <f>'Sch DG-R Cust Fcst'!$B20*'Non-Residential TSM UC Adj'!L21</f>
        <v>0</v>
      </c>
      <c r="E21" s="41">
        <f>IF(SUM(B21:D21)=0,0,SUM(B21:D21)/'Sch DG-R Cust Fcst'!B20)</f>
        <v>0</v>
      </c>
      <c r="F21" s="109">
        <f>'Sch DG-R Cust Fcst'!$C20*'Non-Residential TSM UC Adj'!J21</f>
        <v>0</v>
      </c>
      <c r="G21" s="23">
        <f>'Sch DG-R Cust Fcst'!$C20*'Non-Residential TSM UC Adj'!K21</f>
        <v>0</v>
      </c>
      <c r="H21" s="23">
        <f>'Sch DG-R Cust Fcst'!$C20*'Non-Residential TSM UC Adj'!L21</f>
        <v>0</v>
      </c>
      <c r="I21" s="41">
        <f>IF(SUM(F21:H21)=0,0,SUM(F21:H21)/'Sch DG-R Cust Fcst'!C20)</f>
        <v>0</v>
      </c>
      <c r="J21" s="109">
        <f>'Sch DG-R Cust Fcst'!$D20*'Non-Residential TSM UC Adj'!J21</f>
        <v>0</v>
      </c>
      <c r="K21" s="23">
        <f>'Sch DG-R Cust Fcst'!$D20*'Non-Residential TSM UC Adj'!K21</f>
        <v>0</v>
      </c>
      <c r="L21" s="23">
        <f>'Sch DG-R Cust Fcst'!$D20*'Non-Residential TSM UC Adj'!L21</f>
        <v>0</v>
      </c>
      <c r="M21" s="41">
        <f>IF(SUM(J21:L21)=0,0,SUM(J21:L21)/'Sch DG-R Cust Fcst'!D20)</f>
        <v>0</v>
      </c>
      <c r="N21" s="109">
        <f>'Sch DG-R Cust Fcst'!$E20*'Non-Residential TSM UC Adj'!N21</f>
        <v>14168.457286169785</v>
      </c>
      <c r="O21" s="23">
        <f>'Sch DG-R Cust Fcst'!$E20*'Non-Residential TSM UC Adj'!O21</f>
        <v>3881.3806159244828</v>
      </c>
      <c r="P21" s="23">
        <f>'Sch DG-R Cust Fcst'!$E20*'Non-Residential TSM UC Adj'!P21</f>
        <v>865.67585029149416</v>
      </c>
      <c r="Q21" s="41">
        <f>IF(SUM(N21:P21)=0,0,SUM(N21:P21)/'Sch DG-R Cust Fcst'!E20)</f>
        <v>18915.513752385759</v>
      </c>
      <c r="R21" s="109">
        <f t="shared" si="1"/>
        <v>14168.457286169785</v>
      </c>
      <c r="S21" s="23">
        <f t="shared" si="2"/>
        <v>3881.3806159244828</v>
      </c>
      <c r="T21" s="23">
        <f t="shared" si="3"/>
        <v>865.67585029149416</v>
      </c>
      <c r="U21" s="41">
        <f>IF(SUM(R21:T21)=0,0,SUM(R21:T21)/'Sch DG-R Cust Fcst'!F20)</f>
        <v>18915.513752385759</v>
      </c>
      <c r="V21" s="33">
        <f>'Sch DG-R Cust Fcst'!$G20*'Non-Residential TSM UC Adj'!R21</f>
        <v>0</v>
      </c>
      <c r="W21" s="33">
        <f>'Sch DG-R Cust Fcst'!$G20*'Non-Residential TSM UC Adj'!S21</f>
        <v>0</v>
      </c>
      <c r="X21" s="33">
        <f>'Sch DG-R Cust Fcst'!$G20*'Non-Residential TSM UC Adj'!T21</f>
        <v>0</v>
      </c>
      <c r="Y21" s="41">
        <f>IF(SUM(V21:X21)=0,0,SUM(V21:X21)/'Sch DG-R Cust Fcst'!G20)</f>
        <v>0</v>
      </c>
      <c r="Z21" s="23">
        <f t="shared" si="4"/>
        <v>14168.457286169785</v>
      </c>
      <c r="AA21" s="23">
        <f t="shared" si="0"/>
        <v>3881.3806159244828</v>
      </c>
      <c r="AB21" s="23">
        <f t="shared" si="0"/>
        <v>865.67585029149416</v>
      </c>
      <c r="AC21" s="41">
        <f>IF(SUM(Z21:AB21)=0,0,SUM(Z21:AB21)/'Sch DG-R Cust Fcst'!H20)</f>
        <v>18915.513752385759</v>
      </c>
    </row>
    <row r="22" spans="1:29" ht="13">
      <c r="A22" s="124" t="s">
        <v>14</v>
      </c>
      <c r="B22" s="109">
        <f>'Sch DG-R Cust Fcst'!$B21*'Non-Residential TSM UC Adj'!J22</f>
        <v>0</v>
      </c>
      <c r="C22" s="23">
        <f>'Sch DG-R Cust Fcst'!$B21*'Non-Residential TSM UC Adj'!K22</f>
        <v>0</v>
      </c>
      <c r="D22" s="23">
        <f>'Sch DG-R Cust Fcst'!$B21*'Non-Residential TSM UC Adj'!L22</f>
        <v>0</v>
      </c>
      <c r="E22" s="41">
        <f>IF(SUM(B22:D22)=0,0,SUM(B22:D22)/'Sch DG-R Cust Fcst'!B21)</f>
        <v>0</v>
      </c>
      <c r="F22" s="109">
        <f>'Sch DG-R Cust Fcst'!$C21*'Non-Residential TSM UC Adj'!J22</f>
        <v>0</v>
      </c>
      <c r="G22" s="23">
        <f>'Sch DG-R Cust Fcst'!$C21*'Non-Residential TSM UC Adj'!K22</f>
        <v>0</v>
      </c>
      <c r="H22" s="23">
        <f>'Sch DG-R Cust Fcst'!$C21*'Non-Residential TSM UC Adj'!L22</f>
        <v>0</v>
      </c>
      <c r="I22" s="41">
        <f>IF(SUM(F22:H22)=0,0,SUM(F22:H22)/'Sch DG-R Cust Fcst'!C21)</f>
        <v>0</v>
      </c>
      <c r="J22" s="109">
        <f>'Sch DG-R Cust Fcst'!$D21*'Non-Residential TSM UC Adj'!J22</f>
        <v>0</v>
      </c>
      <c r="K22" s="23">
        <f>'Sch DG-R Cust Fcst'!$D21*'Non-Residential TSM UC Adj'!K22</f>
        <v>0</v>
      </c>
      <c r="L22" s="23">
        <f>'Sch DG-R Cust Fcst'!$D21*'Non-Residential TSM UC Adj'!L22</f>
        <v>0</v>
      </c>
      <c r="M22" s="41">
        <f>IF(SUM(J22:L22)=0,0,SUM(J22:L22)/'Sch DG-R Cust Fcst'!D21)</f>
        <v>0</v>
      </c>
      <c r="N22" s="109">
        <f>'Sch DG-R Cust Fcst'!$E21*'Non-Residential TSM UC Adj'!N22</f>
        <v>28336.91457233957</v>
      </c>
      <c r="O22" s="23">
        <f>'Sch DG-R Cust Fcst'!$E21*'Non-Residential TSM UC Adj'!O22</f>
        <v>6332.3820101775018</v>
      </c>
      <c r="P22" s="23">
        <f>'Sch DG-R Cust Fcst'!$E21*'Non-Residential TSM UC Adj'!P22</f>
        <v>865.67585029149416</v>
      </c>
      <c r="Q22" s="41">
        <f>IF(SUM(N22:P22)=0,0,SUM(N22:P22)/'Sch DG-R Cust Fcst'!E21)</f>
        <v>35534.972432808565</v>
      </c>
      <c r="R22" s="109">
        <f t="shared" si="1"/>
        <v>28336.91457233957</v>
      </c>
      <c r="S22" s="23">
        <f t="shared" si="2"/>
        <v>6332.3820101775018</v>
      </c>
      <c r="T22" s="23">
        <f t="shared" si="3"/>
        <v>865.67585029149416</v>
      </c>
      <c r="U22" s="41">
        <f>IF(SUM(R22:T22)=0,0,SUM(R22:T22)/'Sch DG-R Cust Fcst'!F21)</f>
        <v>35534.972432808565</v>
      </c>
      <c r="V22" s="33">
        <f>'Sch DG-R Cust Fcst'!$G21*'Non-Residential TSM UC Adj'!R22</f>
        <v>0</v>
      </c>
      <c r="W22" s="33">
        <f>'Sch DG-R Cust Fcst'!$G21*'Non-Residential TSM UC Adj'!S22</f>
        <v>9389.781938826658</v>
      </c>
      <c r="X22" s="33">
        <f>'Sch DG-R Cust Fcst'!$G21*'Non-Residential TSM UC Adj'!T22</f>
        <v>2903.4649150578125</v>
      </c>
      <c r="Y22" s="41">
        <f>IF(SUM(V22:X22)=0,0,SUM(V22:X22)/'Sch DG-R Cust Fcst'!G21)</f>
        <v>4097.7489512948232</v>
      </c>
      <c r="Z22" s="23">
        <f t="shared" si="4"/>
        <v>28336.91457233957</v>
      </c>
      <c r="AA22" s="23">
        <f t="shared" si="0"/>
        <v>15722.16394900416</v>
      </c>
      <c r="AB22" s="23">
        <f t="shared" si="0"/>
        <v>3769.1407653493065</v>
      </c>
      <c r="AC22" s="41">
        <f>IF(SUM(Z22:AB22)=0,0,SUM(Z22:AB22)/'Sch DG-R Cust Fcst'!H21)</f>
        <v>11957.05482167326</v>
      </c>
    </row>
    <row r="23" spans="1:29" ht="13">
      <c r="A23" s="126" t="s">
        <v>15</v>
      </c>
      <c r="B23" s="109">
        <f>'Sch DG-R Cust Fcst'!$B22*'Non-Residential TSM UC Adj'!J23</f>
        <v>0</v>
      </c>
      <c r="C23" s="23">
        <f>'Sch DG-R Cust Fcst'!$B22*'Non-Residential TSM UC Adj'!K23</f>
        <v>0</v>
      </c>
      <c r="D23" s="23">
        <f>'Sch DG-R Cust Fcst'!$B22*'Non-Residential TSM UC Adj'!L23</f>
        <v>0</v>
      </c>
      <c r="E23" s="41">
        <f>IF(SUM(B23:D23)=0,0,SUM(B23:D23)/'Sch DG-R Cust Fcst'!B22)</f>
        <v>0</v>
      </c>
      <c r="F23" s="109">
        <f>'Sch DG-R Cust Fcst'!$C22*'Non-Residential TSM UC Adj'!J23</f>
        <v>0</v>
      </c>
      <c r="G23" s="23">
        <f>'Sch DG-R Cust Fcst'!$C22*'Non-Residential TSM UC Adj'!K23</f>
        <v>0</v>
      </c>
      <c r="H23" s="23">
        <f>'Sch DG-R Cust Fcst'!$C22*'Non-Residential TSM UC Adj'!L23</f>
        <v>0</v>
      </c>
      <c r="I23" s="41">
        <f>IF(SUM(F23:H23)=0,0,SUM(F23:H23)/'Sch DG-R Cust Fcst'!C22)</f>
        <v>0</v>
      </c>
      <c r="J23" s="109">
        <f>'Sch DG-R Cust Fcst'!$D22*'Non-Residential TSM UC Adj'!J23</f>
        <v>0</v>
      </c>
      <c r="K23" s="23">
        <f>'Sch DG-R Cust Fcst'!$D22*'Non-Residential TSM UC Adj'!K23</f>
        <v>0</v>
      </c>
      <c r="L23" s="23">
        <f>'Sch DG-R Cust Fcst'!$D22*'Non-Residential TSM UC Adj'!L23</f>
        <v>0</v>
      </c>
      <c r="M23" s="41">
        <f>IF(SUM(J23:L23)=0,0,SUM(J23:L23)/'Sch DG-R Cust Fcst'!D22)</f>
        <v>0</v>
      </c>
      <c r="N23" s="109">
        <f>'Sch DG-R Cust Fcst'!$E22*'Non-Residential TSM UC Adj'!N23</f>
        <v>34353.01585099873</v>
      </c>
      <c r="O23" s="23">
        <f>'Sch DG-R Cust Fcst'!$E22*'Non-Residential TSM UC Adj'!O23</f>
        <v>6332.3820101775018</v>
      </c>
      <c r="P23" s="23">
        <f>'Sch DG-R Cust Fcst'!$E22*'Non-Residential TSM UC Adj'!P23</f>
        <v>865.67585029149416</v>
      </c>
      <c r="Q23" s="41">
        <f>IF(SUM(N23:P23)=0,0,SUM(N23:P23)/'Sch DG-R Cust Fcst'!E22)</f>
        <v>41551.073711467725</v>
      </c>
      <c r="R23" s="109">
        <f t="shared" si="1"/>
        <v>34353.01585099873</v>
      </c>
      <c r="S23" s="23">
        <f t="shared" si="2"/>
        <v>6332.3820101775018</v>
      </c>
      <c r="T23" s="23">
        <f t="shared" si="3"/>
        <v>865.67585029149416</v>
      </c>
      <c r="U23" s="41">
        <f>IF(SUM(R23:T23)=0,0,SUM(R23:T23)/'Sch DG-R Cust Fcst'!F22)</f>
        <v>41551.073711467725</v>
      </c>
      <c r="V23" s="33">
        <f>'Sch DG-R Cust Fcst'!$G22*'Non-Residential TSM UC Adj'!R23</f>
        <v>0</v>
      </c>
      <c r="W23" s="33">
        <f>'Sch DG-R Cust Fcst'!$G22*'Non-Residential TSM UC Adj'!S23</f>
        <v>6259.854625884439</v>
      </c>
      <c r="X23" s="33">
        <f>'Sch DG-R Cust Fcst'!$G22*'Non-Residential TSM UC Adj'!T23</f>
        <v>1935.6432767052083</v>
      </c>
      <c r="Y23" s="41">
        <f>IF(SUM(V23:X23)=0,0,SUM(V23:X23)/'Sch DG-R Cust Fcst'!G22)</f>
        <v>4097.7489512948232</v>
      </c>
      <c r="Z23" s="23">
        <f t="shared" si="4"/>
        <v>34353.01585099873</v>
      </c>
      <c r="AA23" s="23">
        <f t="shared" si="4"/>
        <v>12592.236636061942</v>
      </c>
      <c r="AB23" s="23">
        <f t="shared" si="4"/>
        <v>2801.3191269967024</v>
      </c>
      <c r="AC23" s="41">
        <f>IF(SUM(Z23:AB23)=0,0,SUM(Z23:AB23)/'Sch DG-R Cust Fcst'!H22)</f>
        <v>16582.190538019124</v>
      </c>
    </row>
    <row r="24" spans="1:29" ht="13">
      <c r="A24" s="126" t="s">
        <v>16</v>
      </c>
      <c r="B24" s="109">
        <f>'Sch DG-R Cust Fcst'!$B23*'Non-Residential TSM UC Adj'!J24</f>
        <v>0</v>
      </c>
      <c r="C24" s="23">
        <f>'Sch DG-R Cust Fcst'!$B23*'Non-Residential TSM UC Adj'!K24</f>
        <v>0</v>
      </c>
      <c r="D24" s="23">
        <f>'Sch DG-R Cust Fcst'!$B23*'Non-Residential TSM UC Adj'!L24</f>
        <v>0</v>
      </c>
      <c r="E24" s="41">
        <f>IF(SUM(B24:D24)=0,0,SUM(B24:D24)/'Sch DG-R Cust Fcst'!B23)</f>
        <v>0</v>
      </c>
      <c r="F24" s="109">
        <f>'Sch DG-R Cust Fcst'!$C23*'Non-Residential TSM UC Adj'!J24</f>
        <v>0</v>
      </c>
      <c r="G24" s="23">
        <f>'Sch DG-R Cust Fcst'!$C23*'Non-Residential TSM UC Adj'!K24</f>
        <v>0</v>
      </c>
      <c r="H24" s="23">
        <f>'Sch DG-R Cust Fcst'!$C23*'Non-Residential TSM UC Adj'!L24</f>
        <v>0</v>
      </c>
      <c r="I24" s="41">
        <f>IF(SUM(F24:H24)=0,0,SUM(F24:H24)/'Sch DG-R Cust Fcst'!C23)</f>
        <v>0</v>
      </c>
      <c r="J24" s="109">
        <f>'Sch DG-R Cust Fcst'!$D23*'Non-Residential TSM UC Adj'!J24</f>
        <v>0</v>
      </c>
      <c r="K24" s="23">
        <f>'Sch DG-R Cust Fcst'!$D23*'Non-Residential TSM UC Adj'!K24</f>
        <v>0</v>
      </c>
      <c r="L24" s="23">
        <f>'Sch DG-R Cust Fcst'!$D23*'Non-Residential TSM UC Adj'!L24</f>
        <v>0</v>
      </c>
      <c r="M24" s="41">
        <f>IF(SUM(J24:L24)=0,0,SUM(J24:L24)/'Sch DG-R Cust Fcst'!D23)</f>
        <v>0</v>
      </c>
      <c r="N24" s="109">
        <f>'Sch DG-R Cust Fcst'!$E23*'Non-Residential TSM UC Adj'!N24</f>
        <v>0</v>
      </c>
      <c r="O24" s="23">
        <f>'Sch DG-R Cust Fcst'!$E23*'Non-Residential TSM UC Adj'!O24</f>
        <v>0</v>
      </c>
      <c r="P24" s="23">
        <f>'Sch DG-R Cust Fcst'!$E23*'Non-Residential TSM UC Adj'!P24</f>
        <v>0</v>
      </c>
      <c r="Q24" s="41">
        <f>IF(SUM(N24:P24)=0,0,SUM(N24:P24)/'Sch DG-R Cust Fcst'!E23)</f>
        <v>0</v>
      </c>
      <c r="R24" s="109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DG-R Cust Fcst'!F23)</f>
        <v>0</v>
      </c>
      <c r="V24" s="33">
        <f>'Sch DG-R Cust Fcst'!$G23*'Non-Residential TSM UC Adj'!R24</f>
        <v>0</v>
      </c>
      <c r="W24" s="33">
        <f>'Sch DG-R Cust Fcst'!$G23*'Non-Residential TSM UC Adj'!S24</f>
        <v>0</v>
      </c>
      <c r="X24" s="33">
        <f>'Sch DG-R Cust Fcst'!$G23*'Non-Residential TSM UC Adj'!T24</f>
        <v>0</v>
      </c>
      <c r="Y24" s="41">
        <f>IF(SUM(V24:X24)=0,0,SUM(V24:X24)/'Sch DG-R Cust Fcst'!G23)</f>
        <v>0</v>
      </c>
      <c r="Z24" s="23">
        <f t="shared" si="4"/>
        <v>0</v>
      </c>
      <c r="AA24" s="23">
        <f t="shared" si="4"/>
        <v>0</v>
      </c>
      <c r="AB24" s="23">
        <f t="shared" si="4"/>
        <v>0</v>
      </c>
      <c r="AC24" s="41">
        <f>IF(SUM(Z24:AB24)=0,0,SUM(Z24:AB24)/'Sch DG-R Cust Fcst'!H23)</f>
        <v>0</v>
      </c>
    </row>
    <row r="25" spans="1:29" ht="13">
      <c r="A25" s="126" t="s">
        <v>17</v>
      </c>
      <c r="B25" s="109">
        <f>'Sch DG-R Cust Fcst'!$B24*'Non-Residential TSM UC Adj'!J25</f>
        <v>0</v>
      </c>
      <c r="C25" s="23">
        <f>'Sch DG-R Cust Fcst'!$B24*'Non-Residential TSM UC Adj'!K25</f>
        <v>0</v>
      </c>
      <c r="D25" s="23">
        <f>'Sch DG-R Cust Fcst'!$B24*'Non-Residential TSM UC Adj'!L25</f>
        <v>0</v>
      </c>
      <c r="E25" s="41">
        <f>IF(SUM(B25:D25)=0,0,SUM(B25:D25)/'Sch DG-R Cust Fcst'!B24)</f>
        <v>0</v>
      </c>
      <c r="F25" s="109">
        <f>'Sch DG-R Cust Fcst'!$C24*'Non-Residential TSM UC Adj'!J25</f>
        <v>0</v>
      </c>
      <c r="G25" s="23">
        <f>'Sch DG-R Cust Fcst'!$C24*'Non-Residential TSM UC Adj'!K25</f>
        <v>0</v>
      </c>
      <c r="H25" s="23">
        <f>'Sch DG-R Cust Fcst'!$C24*'Non-Residential TSM UC Adj'!L25</f>
        <v>0</v>
      </c>
      <c r="I25" s="41">
        <f>IF(SUM(F25:H25)=0,0,SUM(F25:H25)/'Sch DG-R Cust Fcst'!C24)</f>
        <v>0</v>
      </c>
      <c r="J25" s="109">
        <f>'Sch DG-R Cust Fcst'!$D24*'Non-Residential TSM UC Adj'!J25</f>
        <v>0</v>
      </c>
      <c r="K25" s="23">
        <f>'Sch DG-R Cust Fcst'!$D24*'Non-Residential TSM UC Adj'!K25</f>
        <v>0</v>
      </c>
      <c r="L25" s="23">
        <f>'Sch DG-R Cust Fcst'!$D24*'Non-Residential TSM UC Adj'!L25</f>
        <v>0</v>
      </c>
      <c r="M25" s="41">
        <f>IF(SUM(J25:L25)=0,0,SUM(J25:L25)/'Sch DG-R Cust Fcst'!D24)</f>
        <v>0</v>
      </c>
      <c r="N25" s="109">
        <f>'Sch DG-R Cust Fcst'!$E24*'Non-Residential TSM UC Adj'!N25</f>
        <v>0</v>
      </c>
      <c r="O25" s="23">
        <f>'Sch DG-R Cust Fcst'!$E24*'Non-Residential TSM UC Adj'!O25</f>
        <v>0</v>
      </c>
      <c r="P25" s="23">
        <f>'Sch DG-R Cust Fcst'!$E24*'Non-Residential TSM UC Adj'!P25</f>
        <v>0</v>
      </c>
      <c r="Q25" s="41">
        <f>IF(SUM(N25:P25)=0,0,SUM(N25:P25)/'Sch DG-R Cust Fcst'!E24)</f>
        <v>0</v>
      </c>
      <c r="R25" s="109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DG-R Cust Fcst'!F24)</f>
        <v>0</v>
      </c>
      <c r="V25" s="33">
        <f>'Sch DG-R Cust Fcst'!$G24*'Non-Residential TSM UC Adj'!R25</f>
        <v>0</v>
      </c>
      <c r="W25" s="33">
        <f>'Sch DG-R Cust Fcst'!$G24*'Non-Residential TSM UC Adj'!S25</f>
        <v>3129.9273129422195</v>
      </c>
      <c r="X25" s="33">
        <f>'Sch DG-R Cust Fcst'!$G24*'Non-Residential TSM UC Adj'!T25</f>
        <v>967.82163835260417</v>
      </c>
      <c r="Y25" s="41">
        <f>IF(SUM(V25:X25)=0,0,SUM(V25:X25)/'Sch DG-R Cust Fcst'!G24)</f>
        <v>4097.7489512948232</v>
      </c>
      <c r="Z25" s="23">
        <f t="shared" si="4"/>
        <v>0</v>
      </c>
      <c r="AA25" s="23">
        <f t="shared" si="4"/>
        <v>3129.9273129422195</v>
      </c>
      <c r="AB25" s="23">
        <f t="shared" si="4"/>
        <v>967.82163835260417</v>
      </c>
      <c r="AC25" s="41">
        <f>IF(SUM(Z25:AB25)=0,0,SUM(Z25:AB25)/'Sch DG-R Cust Fcst'!H24)</f>
        <v>4097.7489512948232</v>
      </c>
    </row>
    <row r="26" spans="1:29" ht="13">
      <c r="A26" s="126" t="s">
        <v>18</v>
      </c>
      <c r="B26" s="109">
        <f>'Sch DG-R Cust Fcst'!$B25*'Non-Residential TSM UC Adj'!J26</f>
        <v>0</v>
      </c>
      <c r="C26" s="23">
        <f>'Sch DG-R Cust Fcst'!$B25*'Non-Residential TSM UC Adj'!K26</f>
        <v>0</v>
      </c>
      <c r="D26" s="23">
        <f>'Sch DG-R Cust Fcst'!$B25*'Non-Residential TSM UC Adj'!L26</f>
        <v>0</v>
      </c>
      <c r="E26" s="41">
        <f>IF(SUM(B26:D26)=0,0,SUM(B26:D26)/'Sch DG-R Cust Fcst'!B25)</f>
        <v>0</v>
      </c>
      <c r="F26" s="109">
        <f>'Sch DG-R Cust Fcst'!$C25*'Non-Residential TSM UC Adj'!J26</f>
        <v>0</v>
      </c>
      <c r="G26" s="23">
        <f>'Sch DG-R Cust Fcst'!$C25*'Non-Residential TSM UC Adj'!K26</f>
        <v>0</v>
      </c>
      <c r="H26" s="23">
        <f>'Sch DG-R Cust Fcst'!$C25*'Non-Residential TSM UC Adj'!L26</f>
        <v>0</v>
      </c>
      <c r="I26" s="41">
        <f>IF(SUM(F26:H26)=0,0,SUM(F26:H26)/'Sch DG-R Cust Fcst'!C25)</f>
        <v>0</v>
      </c>
      <c r="J26" s="109">
        <f>'Sch DG-R Cust Fcst'!$D25*'Non-Residential TSM UC Adj'!J26</f>
        <v>0</v>
      </c>
      <c r="K26" s="23">
        <f>'Sch DG-R Cust Fcst'!$D25*'Non-Residential TSM UC Adj'!K26</f>
        <v>0</v>
      </c>
      <c r="L26" s="23">
        <f>'Sch DG-R Cust Fcst'!$D25*'Non-Residential TSM UC Adj'!L26</f>
        <v>0</v>
      </c>
      <c r="M26" s="41">
        <f>IF(SUM(J26:L26)=0,0,SUM(J26:L26)/'Sch DG-R Cust Fcst'!D25)</f>
        <v>0</v>
      </c>
      <c r="N26" s="109">
        <f>'Sch DG-R Cust Fcst'!$E25*'Non-Residential TSM UC Adj'!N26</f>
        <v>0</v>
      </c>
      <c r="O26" s="23">
        <f>'Sch DG-R Cust Fcst'!$E25*'Non-Residential TSM UC Adj'!O26</f>
        <v>0</v>
      </c>
      <c r="P26" s="23">
        <f>'Sch DG-R Cust Fcst'!$E25*'Non-Residential TSM UC Adj'!P26</f>
        <v>0</v>
      </c>
      <c r="Q26" s="41">
        <f>IF(SUM(N26:P26)=0,0,SUM(N26:P26)/'Sch DG-R Cust Fcst'!E25)</f>
        <v>0</v>
      </c>
      <c r="R26" s="109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DG-R Cust Fcst'!F25)</f>
        <v>0</v>
      </c>
      <c r="V26" s="33">
        <f>'Sch DG-R Cust Fcst'!$G25*'Non-Residential TSM UC Adj'!R26</f>
        <v>0</v>
      </c>
      <c r="W26" s="33">
        <f>'Sch DG-R Cust Fcst'!$G25*'Non-Residential TSM UC Adj'!S26</f>
        <v>0</v>
      </c>
      <c r="X26" s="33">
        <f>'Sch DG-R Cust Fcst'!$G25*'Non-Residential TSM UC Adj'!T26</f>
        <v>0</v>
      </c>
      <c r="Y26" s="41">
        <f>IF(SUM(V26:X26)=0,0,SUM(V26:X26)/'Sch DG-R Cust Fcst'!G25)</f>
        <v>0</v>
      </c>
      <c r="Z26" s="23">
        <f t="shared" si="4"/>
        <v>0</v>
      </c>
      <c r="AA26" s="23">
        <f t="shared" si="4"/>
        <v>0</v>
      </c>
      <c r="AB26" s="23">
        <f t="shared" si="4"/>
        <v>0</v>
      </c>
      <c r="AC26" s="41">
        <f>IF(SUM(Z26:AB26)=0,0,SUM(Z26:AB26)/'Sch DG-R Cust Fcst'!H25)</f>
        <v>0</v>
      </c>
    </row>
    <row r="27" spans="1:29" ht="13">
      <c r="A27" s="126" t="s">
        <v>19</v>
      </c>
      <c r="B27" s="109">
        <f>'Sch DG-R Cust Fcst'!$B26*'Non-Residential TSM UC Adj'!J27</f>
        <v>0</v>
      </c>
      <c r="C27" s="23">
        <f>'Sch DG-R Cust Fcst'!$B26*'Non-Residential TSM UC Adj'!K27</f>
        <v>0</v>
      </c>
      <c r="D27" s="23">
        <f>'Sch DG-R Cust Fcst'!$B26*'Non-Residential TSM UC Adj'!L27</f>
        <v>0</v>
      </c>
      <c r="E27" s="41">
        <f>IF(SUM(B27:D27)=0,0,SUM(B27:D27)/'Sch DG-R Cust Fcst'!B26)</f>
        <v>0</v>
      </c>
      <c r="F27" s="109">
        <f>'Sch DG-R Cust Fcst'!$C26*'Non-Residential TSM UC Adj'!J27</f>
        <v>0</v>
      </c>
      <c r="G27" s="23">
        <f>'Sch DG-R Cust Fcst'!$C26*'Non-Residential TSM UC Adj'!K27</f>
        <v>0</v>
      </c>
      <c r="H27" s="23">
        <f>'Sch DG-R Cust Fcst'!$C26*'Non-Residential TSM UC Adj'!L27</f>
        <v>0</v>
      </c>
      <c r="I27" s="41">
        <f>IF(SUM(F27:H27)=0,0,SUM(F27:H27)/'Sch DG-R Cust Fcst'!C26)</f>
        <v>0</v>
      </c>
      <c r="J27" s="109">
        <f>'Sch DG-R Cust Fcst'!$D26*'Non-Residential TSM UC Adj'!J27</f>
        <v>0</v>
      </c>
      <c r="K27" s="23">
        <f>'Sch DG-R Cust Fcst'!$D26*'Non-Residential TSM UC Adj'!K27</f>
        <v>0</v>
      </c>
      <c r="L27" s="23">
        <f>'Sch DG-R Cust Fcst'!$D26*'Non-Residential TSM UC Adj'!L27</f>
        <v>0</v>
      </c>
      <c r="M27" s="41">
        <f>IF(SUM(J27:L27)=0,0,SUM(J27:L27)/'Sch DG-R Cust Fcst'!D26)</f>
        <v>0</v>
      </c>
      <c r="N27" s="109">
        <f>'Sch DG-R Cust Fcst'!$E26*'Non-Residential TSM UC Adj'!N27</f>
        <v>0</v>
      </c>
      <c r="O27" s="23">
        <f>'Sch DG-R Cust Fcst'!$E26*'Non-Residential TSM UC Adj'!O27</f>
        <v>0</v>
      </c>
      <c r="P27" s="23">
        <f>'Sch DG-R Cust Fcst'!$E26*'Non-Residential TSM UC Adj'!P27</f>
        <v>0</v>
      </c>
      <c r="Q27" s="41">
        <f>IF(SUM(N27:P27)=0,0,SUM(N27:P27)/'Sch DG-R Cust Fcst'!E26)</f>
        <v>0</v>
      </c>
      <c r="R27" s="109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DG-R Cust Fcst'!F26)</f>
        <v>0</v>
      </c>
      <c r="V27" s="33">
        <f>'Sch DG-R Cust Fcst'!$G26*'Non-Residential TSM UC Adj'!R27</f>
        <v>0</v>
      </c>
      <c r="W27" s="33">
        <f>'Sch DG-R Cust Fcst'!$G26*'Non-Residential TSM UC Adj'!S27</f>
        <v>0</v>
      </c>
      <c r="X27" s="33">
        <f>'Sch DG-R Cust Fcst'!$G26*'Non-Residential TSM UC Adj'!T27</f>
        <v>0</v>
      </c>
      <c r="Y27" s="41">
        <f>IF(SUM(V27:X27)=0,0,SUM(V27:X27)/'Sch DG-R Cust Fcst'!G26)</f>
        <v>0</v>
      </c>
      <c r="Z27" s="23">
        <f t="shared" si="4"/>
        <v>0</v>
      </c>
      <c r="AA27" s="23">
        <f t="shared" si="4"/>
        <v>0</v>
      </c>
      <c r="AB27" s="23">
        <f t="shared" si="4"/>
        <v>0</v>
      </c>
      <c r="AC27" s="41">
        <f>IF(SUM(Z27:AB27)=0,0,SUM(Z27:AB27)/'Sch DG-R Cust Fcst'!H26)</f>
        <v>0</v>
      </c>
    </row>
    <row r="28" spans="1:29" ht="13">
      <c r="A28" s="126" t="s">
        <v>20</v>
      </c>
      <c r="B28" s="109">
        <f>'Sch DG-R Cust Fcst'!$B27*'Non-Residential TSM UC Adj'!J28</f>
        <v>0</v>
      </c>
      <c r="C28" s="23">
        <f>'Sch DG-R Cust Fcst'!$B27*'Non-Residential TSM UC Adj'!K28</f>
        <v>0</v>
      </c>
      <c r="D28" s="23">
        <f>'Sch DG-R Cust Fcst'!$B27*'Non-Residential TSM UC Adj'!L28</f>
        <v>0</v>
      </c>
      <c r="E28" s="41">
        <f>IF(SUM(B28:D28)=0,0,SUM(B28:D28)/'Sch DG-R Cust Fcst'!B27)</f>
        <v>0</v>
      </c>
      <c r="F28" s="109">
        <f>'Sch DG-R Cust Fcst'!$C27*'Non-Residential TSM UC Adj'!J28</f>
        <v>0</v>
      </c>
      <c r="G28" s="23">
        <f>'Sch DG-R Cust Fcst'!$C27*'Non-Residential TSM UC Adj'!K28</f>
        <v>0</v>
      </c>
      <c r="H28" s="23">
        <f>'Sch DG-R Cust Fcst'!$C27*'Non-Residential TSM UC Adj'!L28</f>
        <v>0</v>
      </c>
      <c r="I28" s="41">
        <f>IF(SUM(F28:H28)=0,0,SUM(F28:H28)/'Sch DG-R Cust Fcst'!C27)</f>
        <v>0</v>
      </c>
      <c r="J28" s="109">
        <f>'Sch DG-R Cust Fcst'!$D27*'Non-Residential TSM UC Adj'!J28</f>
        <v>0</v>
      </c>
      <c r="K28" s="23">
        <f>'Sch DG-R Cust Fcst'!$D27*'Non-Residential TSM UC Adj'!K28</f>
        <v>0</v>
      </c>
      <c r="L28" s="23">
        <f>'Sch DG-R Cust Fcst'!$D27*'Non-Residential TSM UC Adj'!L28</f>
        <v>0</v>
      </c>
      <c r="M28" s="41">
        <f>IF(SUM(J28:L28)=0,0,SUM(J28:L28)/'Sch DG-R Cust Fcst'!D27)</f>
        <v>0</v>
      </c>
      <c r="N28" s="109">
        <f>'Sch DG-R Cust Fcst'!$E27*'Non-Residential TSM UC Adj'!N28</f>
        <v>0</v>
      </c>
      <c r="O28" s="23">
        <f>'Sch DG-R Cust Fcst'!$E27*'Non-Residential TSM UC Adj'!O28</f>
        <v>0</v>
      </c>
      <c r="P28" s="23">
        <f>'Sch DG-R Cust Fcst'!$E27*'Non-Residential TSM UC Adj'!P28</f>
        <v>0</v>
      </c>
      <c r="Q28" s="41">
        <f>IF(SUM(N28:P28)=0,0,SUM(N28:P28)/'Sch DG-R Cust Fcst'!E27)</f>
        <v>0</v>
      </c>
      <c r="R28" s="109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DG-R Cust Fcst'!F27)</f>
        <v>0</v>
      </c>
      <c r="V28" s="33">
        <f>'Sch DG-R Cust Fcst'!$G27*'Non-Residential TSM UC Adj'!R28</f>
        <v>0</v>
      </c>
      <c r="W28" s="33">
        <f>'Sch DG-R Cust Fcst'!$G27*'Non-Residential TSM UC Adj'!S28</f>
        <v>0</v>
      </c>
      <c r="X28" s="33">
        <f>'Sch DG-R Cust Fcst'!$G27*'Non-Residential TSM UC Adj'!T28</f>
        <v>0</v>
      </c>
      <c r="Y28" s="41">
        <f>IF(SUM(V28:X28)=0,0,SUM(V28:X28)/'Sch DG-R Cust Fcst'!G27)</f>
        <v>0</v>
      </c>
      <c r="Z28" s="23">
        <f t="shared" si="4"/>
        <v>0</v>
      </c>
      <c r="AA28" s="23">
        <f t="shared" si="4"/>
        <v>0</v>
      </c>
      <c r="AB28" s="23">
        <f t="shared" si="4"/>
        <v>0</v>
      </c>
      <c r="AC28" s="41">
        <f>IF(SUM(Z28:AB28)=0,0,SUM(Z28:AB28)/'Sch DG-R Cust Fcst'!H27)</f>
        <v>0</v>
      </c>
    </row>
    <row r="29" spans="1:29" ht="13">
      <c r="A29" s="126" t="s">
        <v>21</v>
      </c>
      <c r="B29" s="109">
        <f>'Sch DG-R Cust Fcst'!$B28*'Non-Residential TSM UC Adj'!J29</f>
        <v>0</v>
      </c>
      <c r="C29" s="23">
        <f>'Sch DG-R Cust Fcst'!$B28*'Non-Residential TSM UC Adj'!K29</f>
        <v>0</v>
      </c>
      <c r="D29" s="23">
        <f>'Sch DG-R Cust Fcst'!$B28*'Non-Residential TSM UC Adj'!L29</f>
        <v>0</v>
      </c>
      <c r="E29" s="41">
        <f>IF(SUM(B29:D29)=0,0,SUM(B29:D29)/'Sch DG-R Cust Fcst'!B28)</f>
        <v>0</v>
      </c>
      <c r="F29" s="109">
        <f>'Sch DG-R Cust Fcst'!$C28*'Non-Residential TSM UC Adj'!J29</f>
        <v>0</v>
      </c>
      <c r="G29" s="23">
        <f>'Sch DG-R Cust Fcst'!$C28*'Non-Residential TSM UC Adj'!K29</f>
        <v>0</v>
      </c>
      <c r="H29" s="23">
        <f>'Sch DG-R Cust Fcst'!$C28*'Non-Residential TSM UC Adj'!L29</f>
        <v>0</v>
      </c>
      <c r="I29" s="41">
        <f>IF(SUM(F29:H29)=0,0,SUM(F29:H29)/'Sch DG-R Cust Fcst'!C28)</f>
        <v>0</v>
      </c>
      <c r="J29" s="109">
        <f>'Sch DG-R Cust Fcst'!$D28*'Non-Residential TSM UC Adj'!J29</f>
        <v>0</v>
      </c>
      <c r="K29" s="23">
        <f>'Sch DG-R Cust Fcst'!$D28*'Non-Residential TSM UC Adj'!K29</f>
        <v>0</v>
      </c>
      <c r="L29" s="23">
        <f>'Sch DG-R Cust Fcst'!$D28*'Non-Residential TSM UC Adj'!L29</f>
        <v>0</v>
      </c>
      <c r="M29" s="41">
        <f>IF(SUM(J29:L29)=0,0,SUM(J29:L29)/'Sch DG-R Cust Fcst'!D28)</f>
        <v>0</v>
      </c>
      <c r="N29" s="109">
        <f>'Sch DG-R Cust Fcst'!$E28*'Non-Residential TSM UC Adj'!N29</f>
        <v>0</v>
      </c>
      <c r="O29" s="23">
        <f>'Sch DG-R Cust Fcst'!$E28*'Non-Residential TSM UC Adj'!O29</f>
        <v>0</v>
      </c>
      <c r="P29" s="23">
        <f>'Sch DG-R Cust Fcst'!$E28*'Non-Residential TSM UC Adj'!P29</f>
        <v>0</v>
      </c>
      <c r="Q29" s="41">
        <f>IF(SUM(N29:P29)=0,0,SUM(N29:P29)/'Sch DG-R Cust Fcst'!E28)</f>
        <v>0</v>
      </c>
      <c r="R29" s="109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DG-R Cust Fcst'!F28)</f>
        <v>0</v>
      </c>
      <c r="V29" s="33">
        <f>'Sch DG-R Cust Fcst'!$G28*'Non-Residential TSM UC Adj'!R29</f>
        <v>0</v>
      </c>
      <c r="W29" s="33">
        <f>'Sch DG-R Cust Fcst'!$G28*'Non-Residential TSM UC Adj'!S29</f>
        <v>0</v>
      </c>
      <c r="X29" s="33">
        <f>'Sch DG-R Cust Fcst'!$G28*'Non-Residential TSM UC Adj'!T29</f>
        <v>0</v>
      </c>
      <c r="Y29" s="41">
        <f>IF(SUM(V29:X29)=0,0,SUM(V29:X29)/'Sch DG-R Cust Fcst'!G28)</f>
        <v>0</v>
      </c>
      <c r="Z29" s="23">
        <f t="shared" si="4"/>
        <v>0</v>
      </c>
      <c r="AA29" s="23">
        <f t="shared" si="4"/>
        <v>0</v>
      </c>
      <c r="AB29" s="23">
        <f t="shared" si="4"/>
        <v>0</v>
      </c>
      <c r="AC29" s="41">
        <f>IF(SUM(Z29:AB29)=0,0,SUM(Z29:AB29)/'Sch DG-R Cust Fcst'!H28)</f>
        <v>0</v>
      </c>
    </row>
    <row r="30" spans="1:29" ht="13">
      <c r="A30" s="126" t="s">
        <v>22</v>
      </c>
      <c r="B30" s="109">
        <f>'Sch DG-R Cust Fcst'!$B29*'Non-Residential TSM UC Adj'!J30</f>
        <v>0</v>
      </c>
      <c r="C30" s="23">
        <f>'Sch DG-R Cust Fcst'!$B29*'Non-Residential TSM UC Adj'!K30</f>
        <v>0</v>
      </c>
      <c r="D30" s="23">
        <f>'Sch DG-R Cust Fcst'!$B29*'Non-Residential TSM UC Adj'!L30</f>
        <v>0</v>
      </c>
      <c r="E30" s="41">
        <f>IF(SUM(B30:D30)=0,0,SUM(B30:D30)/'Sch DG-R Cust Fcst'!B29)</f>
        <v>0</v>
      </c>
      <c r="F30" s="109">
        <f>'Sch DG-R Cust Fcst'!$C29*'Non-Residential TSM UC Adj'!J30</f>
        <v>0</v>
      </c>
      <c r="G30" s="23">
        <f>'Sch DG-R Cust Fcst'!$C29*'Non-Residential TSM UC Adj'!K30</f>
        <v>0</v>
      </c>
      <c r="H30" s="23">
        <f>'Sch DG-R Cust Fcst'!$C29*'Non-Residential TSM UC Adj'!L30</f>
        <v>0</v>
      </c>
      <c r="I30" s="41">
        <f>IF(SUM(F30:H30)=0,0,SUM(F30:H30)/'Sch DG-R Cust Fcst'!C29)</f>
        <v>0</v>
      </c>
      <c r="J30" s="109">
        <f>'Sch DG-R Cust Fcst'!$D29*'Non-Residential TSM UC Adj'!J30</f>
        <v>0</v>
      </c>
      <c r="K30" s="23">
        <f>'Sch DG-R Cust Fcst'!$D29*'Non-Residential TSM UC Adj'!K30</f>
        <v>0</v>
      </c>
      <c r="L30" s="23">
        <f>'Sch DG-R Cust Fcst'!$D29*'Non-Residential TSM UC Adj'!L30</f>
        <v>0</v>
      </c>
      <c r="M30" s="41">
        <f>IF(SUM(J30:L30)=0,0,SUM(J30:L30)/'Sch DG-R Cust Fcst'!D29)</f>
        <v>0</v>
      </c>
      <c r="N30" s="109">
        <f>'Sch DG-R Cust Fcst'!$E29*'Non-Residential TSM UC Adj'!N30</f>
        <v>0</v>
      </c>
      <c r="O30" s="23">
        <f>'Sch DG-R Cust Fcst'!$E29*'Non-Residential TSM UC Adj'!O30</f>
        <v>0</v>
      </c>
      <c r="P30" s="23">
        <f>'Sch DG-R Cust Fcst'!$E29*'Non-Residential TSM UC Adj'!P30</f>
        <v>0</v>
      </c>
      <c r="Q30" s="41">
        <f>IF(SUM(N30:P30)=0,0,SUM(N30:P30)/'Sch DG-R Cust Fcst'!E29)</f>
        <v>0</v>
      </c>
      <c r="R30" s="109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DG-R Cust Fcst'!F29)</f>
        <v>0</v>
      </c>
      <c r="V30" s="33">
        <f>'Sch DG-R Cust Fcst'!$G29*'Non-Residential TSM UC Adj'!R30</f>
        <v>0</v>
      </c>
      <c r="W30" s="33">
        <f>'Sch DG-R Cust Fcst'!$G29*'Non-Residential TSM UC Adj'!S30</f>
        <v>0</v>
      </c>
      <c r="X30" s="33">
        <f>'Sch DG-R Cust Fcst'!$G29*'Non-Residential TSM UC Adj'!T30</f>
        <v>0</v>
      </c>
      <c r="Y30" s="41">
        <f>IF(SUM(V30:X30)=0,0,SUM(V30:X30)/'Sch DG-R Cust Fcst'!G29)</f>
        <v>0</v>
      </c>
      <c r="Z30" s="23">
        <f t="shared" si="4"/>
        <v>0</v>
      </c>
      <c r="AA30" s="23">
        <f t="shared" si="4"/>
        <v>0</v>
      </c>
      <c r="AB30" s="23">
        <f t="shared" si="4"/>
        <v>0</v>
      </c>
      <c r="AC30" s="41">
        <f>IF(SUM(Z30:AB30)=0,0,SUM(Z30:AB30)/'Sch DG-R Cust Fcst'!H29)</f>
        <v>0</v>
      </c>
    </row>
    <row r="31" spans="1:29" ht="13">
      <c r="A31" s="124" t="s">
        <v>23</v>
      </c>
      <c r="B31" s="109">
        <f>'Sch DG-R Cust Fcst'!$B30*'Non-Residential TSM UC Adj'!J31</f>
        <v>0</v>
      </c>
      <c r="C31" s="23">
        <f>'Sch DG-R Cust Fcst'!$B30*'Non-Residential TSM UC Adj'!K31</f>
        <v>0</v>
      </c>
      <c r="D31" s="23">
        <f>'Sch DG-R Cust Fcst'!$B30*'Non-Residential TSM UC Adj'!L31</f>
        <v>0</v>
      </c>
      <c r="E31" s="41">
        <f>IF(SUM(B31:D31)=0,0,SUM(B31:D31)/'Sch DG-R Cust Fcst'!B30)</f>
        <v>0</v>
      </c>
      <c r="F31" s="109">
        <f>'Sch DG-R Cust Fcst'!$C30*'Non-Residential TSM UC Adj'!J31</f>
        <v>0</v>
      </c>
      <c r="G31" s="23">
        <f>'Sch DG-R Cust Fcst'!$C30*'Non-Residential TSM UC Adj'!K31</f>
        <v>0</v>
      </c>
      <c r="H31" s="23">
        <f>'Sch DG-R Cust Fcst'!$C30*'Non-Residential TSM UC Adj'!L31</f>
        <v>0</v>
      </c>
      <c r="I31" s="41">
        <f>IF(SUM(F31:H31)=0,0,SUM(F31:H31)/'Sch DG-R Cust Fcst'!C30)</f>
        <v>0</v>
      </c>
      <c r="J31" s="109">
        <f>'Sch DG-R Cust Fcst'!$D30*'Non-Residential TSM UC Adj'!J31</f>
        <v>0</v>
      </c>
      <c r="K31" s="23">
        <f>'Sch DG-R Cust Fcst'!$D30*'Non-Residential TSM UC Adj'!K31</f>
        <v>0</v>
      </c>
      <c r="L31" s="23">
        <f>'Sch DG-R Cust Fcst'!$D30*'Non-Residential TSM UC Adj'!L31</f>
        <v>0</v>
      </c>
      <c r="M31" s="41">
        <f>IF(SUM(J31:L31)=0,0,SUM(J31:L31)/'Sch DG-R Cust Fcst'!D30)</f>
        <v>0</v>
      </c>
      <c r="N31" s="109">
        <f>'Sch DG-R Cust Fcst'!$E30*'Non-Residential TSM UC Adj'!N31</f>
        <v>0</v>
      </c>
      <c r="O31" s="23">
        <f>'Sch DG-R Cust Fcst'!$E30*'Non-Residential TSM UC Adj'!O31</f>
        <v>0</v>
      </c>
      <c r="P31" s="23">
        <f>'Sch DG-R Cust Fcst'!$E30*'Non-Residential TSM UC Adj'!P31</f>
        <v>0</v>
      </c>
      <c r="Q31" s="41">
        <f>IF(SUM(N31:P31)=0,0,SUM(N31:P31)/'Sch DG-R Cust Fcst'!E30)</f>
        <v>0</v>
      </c>
      <c r="R31" s="109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DG-R Cust Fcst'!F30)</f>
        <v>0</v>
      </c>
      <c r="V31" s="33">
        <f>'Sch DG-R Cust Fcst'!$G30*'Non-Residential TSM UC Adj'!R31</f>
        <v>0</v>
      </c>
      <c r="W31" s="33">
        <f>'Sch DG-R Cust Fcst'!$G30*'Non-Residential TSM UC Adj'!S31</f>
        <v>0</v>
      </c>
      <c r="X31" s="33">
        <f>'Sch DG-R Cust Fcst'!$G30*'Non-Residential TSM UC Adj'!T31</f>
        <v>0</v>
      </c>
      <c r="Y31" s="41">
        <f>IF(SUM(V31:X31)=0,0,SUM(V31:X31)/'Sch DG-R Cust Fcst'!G30)</f>
        <v>0</v>
      </c>
      <c r="Z31" s="23">
        <f t="shared" si="4"/>
        <v>0</v>
      </c>
      <c r="AA31" s="23">
        <f t="shared" si="4"/>
        <v>0</v>
      </c>
      <c r="AB31" s="23">
        <f t="shared" si="4"/>
        <v>0</v>
      </c>
      <c r="AC31" s="41">
        <f>IF(SUM(Z31:AB31)=0,0,SUM(Z31:AB31)/'Sch DG-R Cust Fcst'!H30)</f>
        <v>0</v>
      </c>
    </row>
    <row r="32" spans="1:29" ht="13">
      <c r="A32" s="124" t="s">
        <v>24</v>
      </c>
      <c r="B32" s="109">
        <f>'Sch DG-R Cust Fcst'!$B31*'Non-Residential TSM UC Adj'!J32</f>
        <v>0</v>
      </c>
      <c r="C32" s="23">
        <f>'Sch DG-R Cust Fcst'!$B31*'Non-Residential TSM UC Adj'!K32</f>
        <v>0</v>
      </c>
      <c r="D32" s="23">
        <f>'Sch DG-R Cust Fcst'!$B31*'Non-Residential TSM UC Adj'!L32</f>
        <v>0</v>
      </c>
      <c r="E32" s="41">
        <f>IF(SUM(B32:D32)=0,0,SUM(B32:D32)/'Sch DG-R Cust Fcst'!B31)</f>
        <v>0</v>
      </c>
      <c r="F32" s="109">
        <f>'Sch DG-R Cust Fcst'!$C31*'Non-Residential TSM UC Adj'!J32</f>
        <v>0</v>
      </c>
      <c r="G32" s="23">
        <f>'Sch DG-R Cust Fcst'!$C31*'Non-Residential TSM UC Adj'!K32</f>
        <v>0</v>
      </c>
      <c r="H32" s="23">
        <f>'Sch DG-R Cust Fcst'!$C31*'Non-Residential TSM UC Adj'!L32</f>
        <v>0</v>
      </c>
      <c r="I32" s="41">
        <f>IF(SUM(F32:H32)=0,0,SUM(F32:H32)/'Sch DG-R Cust Fcst'!C31)</f>
        <v>0</v>
      </c>
      <c r="J32" s="109">
        <f>'Sch DG-R Cust Fcst'!$D31*'Non-Residential TSM UC Adj'!J32</f>
        <v>0</v>
      </c>
      <c r="K32" s="23">
        <f>'Sch DG-R Cust Fcst'!$D31*'Non-Residential TSM UC Adj'!K32</f>
        <v>0</v>
      </c>
      <c r="L32" s="23">
        <f>'Sch DG-R Cust Fcst'!$D31*'Non-Residential TSM UC Adj'!L32</f>
        <v>0</v>
      </c>
      <c r="M32" s="41">
        <f>IF(SUM(J32:L32)=0,0,SUM(J32:L32)/'Sch DG-R Cust Fcst'!D31)</f>
        <v>0</v>
      </c>
      <c r="N32" s="109">
        <f>'Sch DG-R Cust Fcst'!$E31*'Non-Residential TSM UC Adj'!N32</f>
        <v>0</v>
      </c>
      <c r="O32" s="23">
        <f>'Sch DG-R Cust Fcst'!$E31*'Non-Residential TSM UC Adj'!O32</f>
        <v>0</v>
      </c>
      <c r="P32" s="23">
        <f>'Sch DG-R Cust Fcst'!$E31*'Non-Residential TSM UC Adj'!P32</f>
        <v>0</v>
      </c>
      <c r="Q32" s="41">
        <f>IF(SUM(N32:P32)=0,0,SUM(N32:P32)/'Sch DG-R Cust Fcst'!E31)</f>
        <v>0</v>
      </c>
      <c r="R32" s="109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DG-R Cust Fcst'!F31)</f>
        <v>0</v>
      </c>
      <c r="V32" s="33">
        <f>'Sch DG-R Cust Fcst'!$G31*'Non-Residential TSM UC Adj'!R32</f>
        <v>0</v>
      </c>
      <c r="W32" s="33">
        <f>'Sch DG-R Cust Fcst'!$G31*'Non-Residential TSM UC Adj'!S32</f>
        <v>0</v>
      </c>
      <c r="X32" s="33">
        <f>'Sch DG-R Cust Fcst'!$G31*'Non-Residential TSM UC Adj'!T32</f>
        <v>0</v>
      </c>
      <c r="Y32" s="41">
        <f>IF(SUM(V32:X32)=0,0,SUM(V32:X32)/'Sch DG-R Cust Fcst'!G31)</f>
        <v>0</v>
      </c>
      <c r="Z32" s="23">
        <f t="shared" si="4"/>
        <v>0</v>
      </c>
      <c r="AA32" s="23">
        <f t="shared" si="4"/>
        <v>0</v>
      </c>
      <c r="AB32" s="23">
        <f t="shared" si="4"/>
        <v>0</v>
      </c>
      <c r="AC32" s="41">
        <f>IF(SUM(Z32:AB32)=0,0,SUM(Z32:AB32)/'Sch DG-R Cust Fcst'!H31)</f>
        <v>0</v>
      </c>
    </row>
    <row r="33" spans="1:29" ht="13">
      <c r="A33" s="124" t="s">
        <v>25</v>
      </c>
      <c r="B33" s="109">
        <f>'Sch DG-R Cust Fcst'!$B32*'Non-Residential TSM UC Adj'!J33</f>
        <v>0</v>
      </c>
      <c r="C33" s="23">
        <f>'Sch DG-R Cust Fcst'!$B32*'Non-Residential TSM UC Adj'!K33</f>
        <v>0</v>
      </c>
      <c r="D33" s="23">
        <f>'Sch DG-R Cust Fcst'!$B32*'Non-Residential TSM UC Adj'!L33</f>
        <v>0</v>
      </c>
      <c r="E33" s="41">
        <f>IF(SUM(B33:D33)=0,0,SUM(B33:D33)/'Sch DG-R Cust Fcst'!B32)</f>
        <v>0</v>
      </c>
      <c r="F33" s="109">
        <f>'Sch DG-R Cust Fcst'!$C32*'Non-Residential TSM UC Adj'!J33</f>
        <v>0</v>
      </c>
      <c r="G33" s="23">
        <f>'Sch DG-R Cust Fcst'!$C32*'Non-Residential TSM UC Adj'!K33</f>
        <v>0</v>
      </c>
      <c r="H33" s="23">
        <f>'Sch DG-R Cust Fcst'!$C32*'Non-Residential TSM UC Adj'!L33</f>
        <v>0</v>
      </c>
      <c r="I33" s="41">
        <f>IF(SUM(F33:H33)=0,0,SUM(F33:H33)/'Sch DG-R Cust Fcst'!C32)</f>
        <v>0</v>
      </c>
      <c r="J33" s="109">
        <f>'Sch DG-R Cust Fcst'!$D32*'Non-Residential TSM UC Adj'!J33</f>
        <v>0</v>
      </c>
      <c r="K33" s="23">
        <f>'Sch DG-R Cust Fcst'!$D32*'Non-Residential TSM UC Adj'!K33</f>
        <v>0</v>
      </c>
      <c r="L33" s="23">
        <f>'Sch DG-R Cust Fcst'!$D32*'Non-Residential TSM UC Adj'!L33</f>
        <v>0</v>
      </c>
      <c r="M33" s="41">
        <f>IF(SUM(J33:L33)=0,0,SUM(J33:L33)/'Sch DG-R Cust Fcst'!D32)</f>
        <v>0</v>
      </c>
      <c r="N33" s="109">
        <f>'Sch DG-R Cust Fcst'!$E32*'Non-Residential TSM UC Adj'!N33</f>
        <v>0</v>
      </c>
      <c r="O33" s="23">
        <f>'Sch DG-R Cust Fcst'!$E32*'Non-Residential TSM UC Adj'!O33</f>
        <v>0</v>
      </c>
      <c r="P33" s="23">
        <f>'Sch DG-R Cust Fcst'!$E32*'Non-Residential TSM UC Adj'!P33</f>
        <v>0</v>
      </c>
      <c r="Q33" s="41">
        <f>IF(SUM(N33:P33)=0,0,SUM(N33:P33)/'Sch DG-R Cust Fcst'!E32)</f>
        <v>0</v>
      </c>
      <c r="R33" s="109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DG-R Cust Fcst'!F32)</f>
        <v>0</v>
      </c>
      <c r="V33" s="33">
        <f>'Sch DG-R Cust Fcst'!$G32*'Non-Residential TSM UC Adj'!R33</f>
        <v>0</v>
      </c>
      <c r="W33" s="33">
        <f>'Sch DG-R Cust Fcst'!$G32*'Non-Residential TSM UC Adj'!S33</f>
        <v>0</v>
      </c>
      <c r="X33" s="33">
        <f>'Sch DG-R Cust Fcst'!$G32*'Non-Residential TSM UC Adj'!T33</f>
        <v>0</v>
      </c>
      <c r="Y33" s="41">
        <f>IF(SUM(V33:X33)=0,0,SUM(V33:X33)/'Sch DG-R Cust Fcst'!G32)</f>
        <v>0</v>
      </c>
      <c r="Z33" s="23">
        <f t="shared" si="4"/>
        <v>0</v>
      </c>
      <c r="AA33" s="23">
        <f t="shared" si="4"/>
        <v>0</v>
      </c>
      <c r="AB33" s="23">
        <f t="shared" si="4"/>
        <v>0</v>
      </c>
      <c r="AC33" s="41">
        <f>IF(SUM(Z33:AB33)=0,0,SUM(Z33:AB33)/'Sch DG-R Cust Fcst'!H32)</f>
        <v>0</v>
      </c>
    </row>
    <row r="34" spans="1:29" ht="13">
      <c r="A34" s="124" t="s">
        <v>106</v>
      </c>
      <c r="B34" s="109">
        <f>'Sch DG-R Cust Fcst'!$B33*'Non-Residential TSM UC Adj'!J34</f>
        <v>0</v>
      </c>
      <c r="C34" s="23">
        <f>'Sch DG-R Cust Fcst'!$B33*'Non-Residential TSM UC Adj'!K34</f>
        <v>0</v>
      </c>
      <c r="D34" s="23">
        <f>'Sch DG-R Cust Fcst'!$B33*'Non-Residential TSM UC Adj'!L34</f>
        <v>0</v>
      </c>
      <c r="E34" s="41">
        <f>IF(SUM(B34:D34)=0,0,SUM(B34:D34)/'Sch DG-R Cust Fcst'!B33)</f>
        <v>0</v>
      </c>
      <c r="F34" s="109">
        <f>'Sch DG-R Cust Fcst'!$C33*'Non-Residential TSM UC Adj'!J34</f>
        <v>0</v>
      </c>
      <c r="G34" s="23">
        <f>'Sch DG-R Cust Fcst'!$C33*'Non-Residential TSM UC Adj'!K34</f>
        <v>0</v>
      </c>
      <c r="H34" s="23">
        <f>'Sch DG-R Cust Fcst'!$C33*'Non-Residential TSM UC Adj'!L34</f>
        <v>0</v>
      </c>
      <c r="I34" s="41">
        <f>IF(SUM(F34:H34)=0,0,SUM(F34:H34)/'Sch DG-R Cust Fcst'!C33)</f>
        <v>0</v>
      </c>
      <c r="J34" s="109">
        <f>'Sch DG-R Cust Fcst'!$D33*'Non-Residential TSM UC Adj'!J34</f>
        <v>0</v>
      </c>
      <c r="K34" s="23">
        <f>'Sch DG-R Cust Fcst'!$D33*'Non-Residential TSM UC Adj'!K34</f>
        <v>0</v>
      </c>
      <c r="L34" s="23">
        <f>'Sch DG-R Cust Fcst'!$D33*'Non-Residential TSM UC Adj'!L34</f>
        <v>0</v>
      </c>
      <c r="M34" s="41">
        <f>IF(SUM(J34:L34)=0,0,SUM(J34:L34)/'Sch DG-R Cust Fcst'!D33)</f>
        <v>0</v>
      </c>
      <c r="N34" s="109">
        <f>'Sch DG-R Cust Fcst'!$E33*'Non-Residential TSM UC Adj'!N34</f>
        <v>0</v>
      </c>
      <c r="O34" s="23">
        <f>'Sch DG-R Cust Fcst'!$E33*'Non-Residential TSM UC Adj'!O34</f>
        <v>0</v>
      </c>
      <c r="P34" s="23">
        <f>'Sch DG-R Cust Fcst'!$E33*'Non-Residential TSM UC Adj'!P34</f>
        <v>0</v>
      </c>
      <c r="Q34" s="41">
        <f>IF(SUM(N34:P34)=0,0,SUM(N34:P34)/'Sch DG-R Cust Fcst'!E33)</f>
        <v>0</v>
      </c>
      <c r="R34" s="109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DG-R Cust Fcst'!F33)</f>
        <v>0</v>
      </c>
      <c r="V34" s="33">
        <f>'Sch DG-R Cust Fcst'!$G33*'Non-Residential TSM UC Adj'!R34</f>
        <v>0</v>
      </c>
      <c r="W34" s="33">
        <f>'Sch DG-R Cust Fcst'!$G33*'Non-Residential TSM UC Adj'!S34</f>
        <v>0</v>
      </c>
      <c r="X34" s="33">
        <f>'Sch DG-R Cust Fcst'!$G33*'Non-Residential TSM UC Adj'!T34</f>
        <v>0</v>
      </c>
      <c r="Y34" s="41">
        <f>IF(SUM(V34:X34)=0,0,SUM(V34:X34)/'Sch DG-R Cust Fcst'!G33)</f>
        <v>0</v>
      </c>
      <c r="Z34" s="23">
        <f t="shared" si="4"/>
        <v>0</v>
      </c>
      <c r="AA34" s="23">
        <f t="shared" si="4"/>
        <v>0</v>
      </c>
      <c r="AB34" s="23">
        <f t="shared" si="4"/>
        <v>0</v>
      </c>
      <c r="AC34" s="41">
        <f>IF(SUM(Z34:AB34)=0,0,SUM(Z34:AB34)/'Sch DG-R Cust Fcst'!H33)</f>
        <v>0</v>
      </c>
    </row>
    <row r="35" spans="1:29" ht="13">
      <c r="A35" s="124" t="s">
        <v>107</v>
      </c>
      <c r="B35" s="109">
        <f>'Sch DG-R Cust Fcst'!$B34*'Non-Residential TSM UC Adj'!J35</f>
        <v>0</v>
      </c>
      <c r="C35" s="23">
        <f>'Sch DG-R Cust Fcst'!$B34*'Non-Residential TSM UC Adj'!K35</f>
        <v>0</v>
      </c>
      <c r="D35" s="23">
        <f>'Sch DG-R Cust Fcst'!$B34*'Non-Residential TSM UC Adj'!L35</f>
        <v>0</v>
      </c>
      <c r="E35" s="41">
        <f>IF(SUM(B35:D35)=0,0,SUM(B35:D35)/'Sch DG-R Cust Fcst'!B34)</f>
        <v>0</v>
      </c>
      <c r="F35" s="109">
        <f>'Sch DG-R Cust Fcst'!$C34*'Non-Residential TSM UC Adj'!J35</f>
        <v>0</v>
      </c>
      <c r="G35" s="23">
        <f>'Sch DG-R Cust Fcst'!$C34*'Non-Residential TSM UC Adj'!K35</f>
        <v>0</v>
      </c>
      <c r="H35" s="23">
        <f>'Sch DG-R Cust Fcst'!$C34*'Non-Residential TSM UC Adj'!L35</f>
        <v>0</v>
      </c>
      <c r="I35" s="41">
        <f>IF(SUM(F35:H35)=0,0,SUM(F35:H35)/'Sch DG-R Cust Fcst'!C34)</f>
        <v>0</v>
      </c>
      <c r="J35" s="109">
        <f>'Sch DG-R Cust Fcst'!$D34*'Non-Residential TSM UC Adj'!J35</f>
        <v>0</v>
      </c>
      <c r="K35" s="23">
        <f>'Sch DG-R Cust Fcst'!$D34*'Non-Residential TSM UC Adj'!K35</f>
        <v>0</v>
      </c>
      <c r="L35" s="23">
        <f>'Sch DG-R Cust Fcst'!$D34*'Non-Residential TSM UC Adj'!L35</f>
        <v>0</v>
      </c>
      <c r="M35" s="41">
        <f>IF(SUM(J35:L35)=0,0,SUM(J35:L35)/'Sch DG-R Cust Fcst'!D34)</f>
        <v>0</v>
      </c>
      <c r="N35" s="109">
        <f>'Sch DG-R Cust Fcst'!$E34*'Non-Residential TSM UC Adj'!N35</f>
        <v>0</v>
      </c>
      <c r="O35" s="23">
        <f>'Sch DG-R Cust Fcst'!$E34*'Non-Residential TSM UC Adj'!O35</f>
        <v>0</v>
      </c>
      <c r="P35" s="23">
        <f>'Sch DG-R Cust Fcst'!$E34*'Non-Residential TSM UC Adj'!P35</f>
        <v>0</v>
      </c>
      <c r="Q35" s="41">
        <f>IF(SUM(N35:P35)=0,0,SUM(N35:P35)/'Sch DG-R Cust Fcst'!E34)</f>
        <v>0</v>
      </c>
      <c r="R35" s="109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DG-R Cust Fcst'!F34)</f>
        <v>0</v>
      </c>
      <c r="V35" s="33">
        <f>'Sch DG-R Cust Fcst'!$G34*'Non-Residential TSM UC Adj'!R35</f>
        <v>0</v>
      </c>
      <c r="W35" s="33">
        <f>'Sch DG-R Cust Fcst'!$G34*'Non-Residential TSM UC Adj'!S35</f>
        <v>0</v>
      </c>
      <c r="X35" s="33">
        <f>'Sch DG-R Cust Fcst'!$G34*'Non-Residential TSM UC Adj'!T35</f>
        <v>0</v>
      </c>
      <c r="Y35" s="41">
        <f>IF(SUM(V35:X35)=0,0,SUM(V35:X35)/'Sch DG-R Cust Fcst'!G34)</f>
        <v>0</v>
      </c>
      <c r="Z35" s="23">
        <f t="shared" si="4"/>
        <v>0</v>
      </c>
      <c r="AA35" s="23">
        <f t="shared" si="4"/>
        <v>0</v>
      </c>
      <c r="AB35" s="23">
        <f t="shared" si="4"/>
        <v>0</v>
      </c>
      <c r="AC35" s="41">
        <f>IF(SUM(Z35:AB35)=0,0,SUM(Z35:AB35)/'Sch DG-R Cust Fcst'!H34)</f>
        <v>0</v>
      </c>
    </row>
    <row r="36" spans="1:29" ht="13">
      <c r="A36" s="126" t="s">
        <v>26</v>
      </c>
      <c r="B36" s="109">
        <f>'Sch DG-R Cust Fcst'!$B35*'Non-Residential TSM UC Adj'!J36</f>
        <v>0</v>
      </c>
      <c r="C36" s="23">
        <f>'Sch DG-R Cust Fcst'!$B35*'Non-Residential TSM UC Adj'!K36</f>
        <v>0</v>
      </c>
      <c r="D36" s="23">
        <f>'Sch DG-R Cust Fcst'!$B35*'Non-Residential TSM UC Adj'!L36</f>
        <v>0</v>
      </c>
      <c r="E36" s="41">
        <f>IF(SUM(B36:D36)=0,0,SUM(B36:D36)/'Sch DG-R Cust Fcst'!B35)</f>
        <v>0</v>
      </c>
      <c r="F36" s="109">
        <f>'Sch DG-R Cust Fcst'!$C35*'Non-Residential TSM UC Adj'!J36</f>
        <v>0</v>
      </c>
      <c r="G36" s="23">
        <f>'Sch DG-R Cust Fcst'!$C35*'Non-Residential TSM UC Adj'!K36</f>
        <v>0</v>
      </c>
      <c r="H36" s="23">
        <f>'Sch DG-R Cust Fcst'!$C35*'Non-Residential TSM UC Adj'!L36</f>
        <v>0</v>
      </c>
      <c r="I36" s="41">
        <f>IF(SUM(F36:H36)=0,0,SUM(F36:H36)/'Sch DG-R Cust Fcst'!C35)</f>
        <v>0</v>
      </c>
      <c r="J36" s="109">
        <f>'Sch DG-R Cust Fcst'!$D35*'Non-Residential TSM UC Adj'!J36</f>
        <v>0</v>
      </c>
      <c r="K36" s="23">
        <f>'Sch DG-R Cust Fcst'!$D35*'Non-Residential TSM UC Adj'!K36</f>
        <v>0</v>
      </c>
      <c r="L36" s="23">
        <f>'Sch DG-R Cust Fcst'!$D35*'Non-Residential TSM UC Adj'!L36</f>
        <v>0</v>
      </c>
      <c r="M36" s="41">
        <f>IF(SUM(J36:L36)=0,0,SUM(J36:L36)/'Sch DG-R Cust Fcst'!D35)</f>
        <v>0</v>
      </c>
      <c r="N36" s="109">
        <f>'Sch DG-R Cust Fcst'!$E35*'Non-Residential TSM UC Adj'!N36</f>
        <v>0</v>
      </c>
      <c r="O36" s="23">
        <f>'Sch DG-R Cust Fcst'!$E35*'Non-Residential TSM UC Adj'!O36</f>
        <v>0</v>
      </c>
      <c r="P36" s="23">
        <f>'Sch DG-R Cust Fcst'!$E35*'Non-Residential TSM UC Adj'!P36</f>
        <v>0</v>
      </c>
      <c r="Q36" s="41">
        <f>IF(SUM(N36:P36)=0,0,SUM(N36:P36)/'Sch DG-R Cust Fcst'!E35)</f>
        <v>0</v>
      </c>
      <c r="R36" s="109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DG-R Cust Fcst'!F35)</f>
        <v>0</v>
      </c>
      <c r="V36" s="33">
        <f>'Sch DG-R Cust Fcst'!$G35*'Non-Residential TSM UC Adj'!R36</f>
        <v>0</v>
      </c>
      <c r="W36" s="33">
        <f>'Sch DG-R Cust Fcst'!$G35*'Non-Residential TSM UC Adj'!S36</f>
        <v>0</v>
      </c>
      <c r="X36" s="33">
        <f>'Sch DG-R Cust Fcst'!$G35*'Non-Residential TSM UC Adj'!T36</f>
        <v>0</v>
      </c>
      <c r="Y36" s="41">
        <f>IF(SUM(V36:X36)=0,0,SUM(V36:X36)/'Sch DG-R Cust Fcst'!G35)</f>
        <v>0</v>
      </c>
      <c r="Z36" s="23">
        <f t="shared" si="4"/>
        <v>0</v>
      </c>
      <c r="AA36" s="23">
        <f t="shared" si="4"/>
        <v>0</v>
      </c>
      <c r="AB36" s="23">
        <f t="shared" si="4"/>
        <v>0</v>
      </c>
      <c r="AC36" s="41">
        <f>IF(SUM(Z36:AB36)=0,0,SUM(Z36:AB36)/'Sch DG-R Cust Fcst'!H35)</f>
        <v>0</v>
      </c>
    </row>
    <row r="37" spans="1:29" ht="13">
      <c r="A37" s="126" t="s">
        <v>27</v>
      </c>
      <c r="B37" s="109">
        <f>'Sch DG-R Cust Fcst'!$B36*'Non-Residential TSM UC Adj'!J37</f>
        <v>0</v>
      </c>
      <c r="C37" s="23">
        <f>'Sch DG-R Cust Fcst'!$B36*'Non-Residential TSM UC Adj'!K37</f>
        <v>0</v>
      </c>
      <c r="D37" s="23">
        <f>'Sch DG-R Cust Fcst'!$B36*'Non-Residential TSM UC Adj'!L37</f>
        <v>0</v>
      </c>
      <c r="E37" s="41">
        <f>IF(SUM(B37:D37)=0,0,SUM(B37:D37)/'Sch DG-R Cust Fcst'!B36)</f>
        <v>0</v>
      </c>
      <c r="F37" s="109">
        <f>'Sch DG-R Cust Fcst'!$C36*'Non-Residential TSM UC Adj'!J37</f>
        <v>0</v>
      </c>
      <c r="G37" s="23">
        <f>'Sch DG-R Cust Fcst'!$C36*'Non-Residential TSM UC Adj'!K37</f>
        <v>0</v>
      </c>
      <c r="H37" s="23">
        <f>'Sch DG-R Cust Fcst'!$C36*'Non-Residential TSM UC Adj'!L37</f>
        <v>0</v>
      </c>
      <c r="I37" s="41">
        <f>IF(SUM(F37:H37)=0,0,SUM(F37:H37)/'Sch DG-R Cust Fcst'!C36)</f>
        <v>0</v>
      </c>
      <c r="J37" s="109">
        <f>'Sch DG-R Cust Fcst'!$D36*'Non-Residential TSM UC Adj'!J37</f>
        <v>0</v>
      </c>
      <c r="K37" s="23">
        <f>'Sch DG-R Cust Fcst'!$D36*'Non-Residential TSM UC Adj'!K37</f>
        <v>0</v>
      </c>
      <c r="L37" s="23">
        <f>'Sch DG-R Cust Fcst'!$D36*'Non-Residential TSM UC Adj'!L37</f>
        <v>0</v>
      </c>
      <c r="M37" s="41">
        <f>IF(SUM(J37:L37)=0,0,SUM(J37:L37)/'Sch DG-R Cust Fcst'!D36)</f>
        <v>0</v>
      </c>
      <c r="N37" s="109">
        <f>'Sch DG-R Cust Fcst'!$E36*'Non-Residential TSM UC Adj'!N37</f>
        <v>0</v>
      </c>
      <c r="O37" s="23">
        <f>'Sch DG-R Cust Fcst'!$E36*'Non-Residential TSM UC Adj'!O37</f>
        <v>0</v>
      </c>
      <c r="P37" s="23">
        <f>'Sch DG-R Cust Fcst'!$E36*'Non-Residential TSM UC Adj'!P37</f>
        <v>0</v>
      </c>
      <c r="Q37" s="41">
        <f>IF(SUM(N37:P37)=0,0,SUM(N37:P37)/'Sch DG-R Cust Fcst'!E36)</f>
        <v>0</v>
      </c>
      <c r="R37" s="109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DG-R Cust Fcst'!F36)</f>
        <v>0</v>
      </c>
      <c r="V37" s="33">
        <f>'Sch DG-R Cust Fcst'!$G36*'Non-Residential TSM UC Adj'!R37</f>
        <v>0</v>
      </c>
      <c r="W37" s="33">
        <f>'Sch DG-R Cust Fcst'!$G36*'Non-Residential TSM UC Adj'!S37</f>
        <v>0</v>
      </c>
      <c r="X37" s="33">
        <f>'Sch DG-R Cust Fcst'!$G36*'Non-Residential TSM UC Adj'!T37</f>
        <v>0</v>
      </c>
      <c r="Y37" s="41">
        <f>IF(SUM(V37:X37)=0,0,SUM(V37:X37)/'Sch DG-R Cust Fcst'!G36)</f>
        <v>0</v>
      </c>
      <c r="Z37" s="23">
        <f t="shared" si="4"/>
        <v>0</v>
      </c>
      <c r="AA37" s="23">
        <f t="shared" si="4"/>
        <v>0</v>
      </c>
      <c r="AB37" s="23">
        <f t="shared" si="4"/>
        <v>0</v>
      </c>
      <c r="AC37" s="41">
        <f>IF(SUM(Z37:AB37)=0,0,SUM(Z37:AB37)/'Sch DG-R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08" t="s">
        <v>2</v>
      </c>
      <c r="B39" s="238">
        <f>IF(SUM(B$7:B$37)=0,0,SUM(B$7:B$37)/'Sch DG-R Cust Fcst'!$B38)</f>
        <v>4920.0872358494044</v>
      </c>
      <c r="C39" s="239">
        <f>IF(SUM(C$7:C$37)=0,0,SUM(C$7:C$37)/'Sch DG-R Cust Fcst'!$B38)</f>
        <v>543.98447724706944</v>
      </c>
      <c r="D39" s="239">
        <f>IF(SUM(D$7:D$37)=0,0,SUM(D$7:D$37)/'Sch DG-R Cust Fcst'!$B38)</f>
        <v>234.29973156037588</v>
      </c>
      <c r="E39" s="240">
        <f>SUM(B39:D39)</f>
        <v>5698.3714446568501</v>
      </c>
      <c r="F39" s="238">
        <f>IF(SUM(F$7:F$37)=0,0,SUM(F$7:F$37)/'Sch DG-R Cust Fcst'!$C38)</f>
        <v>8339.1934513193628</v>
      </c>
      <c r="G39" s="239">
        <f>IF(SUM(G$7:G$37)=0,0,SUM(G$7:G$37)/'Sch DG-R Cust Fcst'!$C38)</f>
        <v>2881.0998696806532</v>
      </c>
      <c r="H39" s="239">
        <f>IF(SUM(H$7:H$37)=0,0,SUM(H$7:H$37)/'Sch DG-R Cust Fcst'!$C38)</f>
        <v>865.67585029149416</v>
      </c>
      <c r="I39" s="240">
        <f>SUM(F39:H39)</f>
        <v>12085.96917129151</v>
      </c>
      <c r="J39" s="238">
        <f>IF(SUM(J$7:J$37)=0,0,SUM(J$7:J$37)/'Sch DG-R Cust Fcst'!$D38)</f>
        <v>12399.773926995176</v>
      </c>
      <c r="K39" s="239">
        <f>IF(SUM(K$7:K$37)=0,0,SUM(K$7:K$37)/'Sch DG-R Cust Fcst'!$D38)</f>
        <v>2598.6669837989075</v>
      </c>
      <c r="L39" s="239">
        <f>IF(SUM(L$7:L$37)=0,0,SUM(L$7:L$37)/'Sch DG-R Cust Fcst'!$D38)</f>
        <v>572.441427599191</v>
      </c>
      <c r="M39" s="240">
        <f>SUM(J39:L39)</f>
        <v>15570.882338393276</v>
      </c>
      <c r="N39" s="238">
        <f>IF(SUM(N$7:N$37)=0,0,SUM(N$7:N$37)/'Sch DG-R Cust Fcst'!$E38)</f>
        <v>13787.940382143266</v>
      </c>
      <c r="O39" s="239">
        <f>IF(SUM(O$7:O$37)=0,0,SUM(O$7:O$37)/'Sch DG-R Cust Fcst'!$E38)</f>
        <v>2470.7696241421099</v>
      </c>
      <c r="P39" s="239">
        <f>IF(SUM(P$7:P$37)=0,0,SUM(P$7:P$37)/'Sch DG-R Cust Fcst'!$E38)</f>
        <v>827.57366439072723</v>
      </c>
      <c r="Q39" s="240">
        <f>SUM(N39:P39)</f>
        <v>17086.283670676101</v>
      </c>
      <c r="R39" s="238">
        <f>IF(SUM(R$7:R$37)=0,0,SUM(R$7:R$37)/'Sch DG-R Cust Fcst'!$F38)</f>
        <v>13220.404944867636</v>
      </c>
      <c r="S39" s="239">
        <f>IF(SUM(S$7:S$37)=0,0,SUM(S$7:S$37)/'Sch DG-R Cust Fcst'!$F38)</f>
        <v>2468.3597608398391</v>
      </c>
      <c r="T39" s="239">
        <f>IF(SUM(T$7:T$37)=0,0,SUM(T$7:T$37)/'Sch DG-R Cust Fcst'!$F38)</f>
        <v>753.78198204221383</v>
      </c>
      <c r="U39" s="240">
        <f>SUM(R39:T39)</f>
        <v>16442.546687749691</v>
      </c>
      <c r="V39" s="238">
        <f>IF(SUM(V$7:V$37)=0,0,SUM(V$7:V$37)/'Sch DG-R Cust Fcst'!$G38)</f>
        <v>0</v>
      </c>
      <c r="W39" s="239">
        <f>IF(SUM(W$7:W$37)=0,0,SUM(W$7:W$37)/'Sch DG-R Cust Fcst'!$G38)</f>
        <v>3129.9273129422195</v>
      </c>
      <c r="X39" s="239">
        <f>IF(SUM(X$7:X$37)=0,0,SUM(X$7:X$37)/'Sch DG-R Cust Fcst'!$G38)</f>
        <v>967.82163835260428</v>
      </c>
      <c r="Y39" s="240">
        <f>SUM(V39:X39)</f>
        <v>4097.7489512948241</v>
      </c>
      <c r="Z39" s="238">
        <f>IF(SUM(Z$7:Z$37)=0,0,SUM(Z$7:Z$37)/'Sch DG-R Cust Fcst'!$H38)</f>
        <v>11725.924385882598</v>
      </c>
      <c r="AA39" s="239">
        <f>IF(SUM(AA$7:AA$37)=0,0,SUM(AA$7:AA$37)/'Sch DG-R Cust Fcst'!$H38)</f>
        <v>2543.1456580340209</v>
      </c>
      <c r="AB39" s="239">
        <f>IF(SUM(AB$7:AB$37)=0,0,SUM(AB$7:AB$37)/'Sch DG-R Cust Fcst'!$H38)</f>
        <v>777.97776927730149</v>
      </c>
      <c r="AC39" s="240">
        <f>SUM(Z39:AB39)</f>
        <v>15047.04781319392</v>
      </c>
    </row>
    <row r="40" spans="1:29" ht="13">
      <c r="A40" s="21" t="s">
        <v>141</v>
      </c>
      <c r="B40" s="109">
        <f>IF(SUM(B$7:B$20)=0,0,SUM(B$7:B$20)/'Sch DG-R Cust Fcst'!$B39)</f>
        <v>4920.0872358494044</v>
      </c>
      <c r="C40" s="23">
        <f>IF(SUM(C$7:C$20)=0,0,SUM(C$7:C$20)/'Sch DG-R Cust Fcst'!$B39)</f>
        <v>543.98447724706944</v>
      </c>
      <c r="D40" s="23">
        <f>IF(SUM(D$7:D$20)=0,0,SUM(D$7:D$20)/'Sch DG-R Cust Fcst'!$B39)</f>
        <v>234.29973156037588</v>
      </c>
      <c r="E40" s="41">
        <f>SUM(B40:D40)</f>
        <v>5698.3714446568501</v>
      </c>
      <c r="F40" s="109">
        <f>IF(SUM(F$7:F$20)=0,0,SUM(F$7:F$20)/'Sch DG-R Cust Fcst'!$C39)</f>
        <v>8339.1934513193628</v>
      </c>
      <c r="G40" s="23">
        <f>IF(SUM(G$7:G$20)=0,0,SUM(G$7:G$20)/'Sch DG-R Cust Fcst'!$C39)</f>
        <v>2881.0998696806532</v>
      </c>
      <c r="H40" s="23">
        <f>IF(SUM(H$7:H$20)=0,0,SUM(H$7:H$20)/'Sch DG-R Cust Fcst'!$C39)</f>
        <v>865.67585029149416</v>
      </c>
      <c r="I40" s="41">
        <f>SUM(F40:H40)</f>
        <v>12085.96917129151</v>
      </c>
      <c r="J40" s="109">
        <f>IF(SUM(J$7:J$20)=0,0,SUM(J$7:J$20)/'Sch DG-R Cust Fcst'!$D39)</f>
        <v>12399.773926995176</v>
      </c>
      <c r="K40" s="23">
        <f>IF(SUM(K$7:K$20)=0,0,SUM(K$7:K$20)/'Sch DG-R Cust Fcst'!$D39)</f>
        <v>2598.6669837989075</v>
      </c>
      <c r="L40" s="23">
        <f>IF(SUM(L$7:L$20)=0,0,SUM(L$7:L$20)/'Sch DG-R Cust Fcst'!$D39)</f>
        <v>572.441427599191</v>
      </c>
      <c r="M40" s="41">
        <f>SUM(J40:L40)</f>
        <v>15570.882338393276</v>
      </c>
      <c r="N40" s="109">
        <f>IF(SUM(N$7:N$20)=0,0,SUM(N$7:N$20)/'Sch DG-R Cust Fcst'!$E39)</f>
        <v>13288.016909423854</v>
      </c>
      <c r="O40" s="23">
        <f>IF(SUM(O$7:O$20)=0,0,SUM(O$7:O$20)/'Sch DG-R Cust Fcst'!$E39)</f>
        <v>2342.1240500033332</v>
      </c>
      <c r="P40" s="23">
        <f>IF(SUM(P$7:P$20)=0,0,SUM(P$7:P$20)/'Sch DG-R Cust Fcst'!$E39)</f>
        <v>825.96371287379327</v>
      </c>
      <c r="Q40" s="41">
        <f>SUM(N40:P40)</f>
        <v>16456.104672300979</v>
      </c>
      <c r="R40" s="109">
        <f>IF(SUM(R$7:R$20)=0,0,SUM(R$7:R$20)/'Sch DG-R Cust Fcst'!$F39)</f>
        <v>12844.675925929201</v>
      </c>
      <c r="S40" s="23">
        <f>IF(SUM(S$7:S$20)=0,0,SUM(S$7:S$20)/'Sch DG-R Cust Fcst'!$F39)</f>
        <v>2376.025767367516</v>
      </c>
      <c r="T40" s="23">
        <f>IF(SUM(T$7:T$20)=0,0,SUM(T$7:T$20)/'Sch DG-R Cust Fcst'!$F39)</f>
        <v>750.3912587619327</v>
      </c>
      <c r="U40" s="41">
        <f>SUM(R40:T40)</f>
        <v>15971.092952058649</v>
      </c>
      <c r="V40" s="109">
        <f>IF(SUM(V$7:V$20)=0,0,SUM(V$7:V$20)/'Sch DG-R Cust Fcst'!$G39)</f>
        <v>0</v>
      </c>
      <c r="W40" s="23">
        <f>IF(SUM(W$7:W$20)=0,0,SUM(W$7:W$20)/'Sch DG-R Cust Fcst'!$G39)</f>
        <v>3129.927312942219</v>
      </c>
      <c r="X40" s="23">
        <f>IF(SUM(X$7:X$20)=0,0,SUM(X$7:X$20)/'Sch DG-R Cust Fcst'!$G39)</f>
        <v>967.82163835260417</v>
      </c>
      <c r="Y40" s="41">
        <f>SUM(V40:X40)</f>
        <v>4097.7489512948232</v>
      </c>
      <c r="Z40" s="109">
        <f>IF(SUM(Z$7:Z$20)=0,0,SUM(Z$7:Z$20)/'Sch DG-R Cust Fcst'!$H39)</f>
        <v>11996.442610065951</v>
      </c>
      <c r="AA40" s="23">
        <f>IF(SUM(AA$7:AA$20)=0,0,SUM(AA$7:AA$20)/'Sch DG-R Cust Fcst'!$H39)</f>
        <v>2425.8117184903736</v>
      </c>
      <c r="AB40" s="23">
        <f>IF(SUM(AB$7:AB$20)=0,0,SUM(AB$7:AB$20)/'Sch DG-R Cust Fcst'!$H39)</f>
        <v>764.74986873490161</v>
      </c>
      <c r="AC40" s="41">
        <f>SUM(Z40:AB40)</f>
        <v>15187.004197291226</v>
      </c>
    </row>
    <row r="41" spans="1:29" ht="13">
      <c r="A41" s="21" t="s">
        <v>139</v>
      </c>
      <c r="B41" s="109">
        <f>IF(SUM(B$21:B$34)=0,0,SUM(B$21:B$34)/'Sch DG-R Cust Fcst'!$B40)</f>
        <v>0</v>
      </c>
      <c r="C41" s="23">
        <f>IF(SUM(C$21:C$34)=0,0,SUM(C$21:C$34)/'Sch DG-R Cust Fcst'!$B40)</f>
        <v>0</v>
      </c>
      <c r="D41" s="23">
        <f>IF(SUM(D$21:D$34)=0,0,SUM(D$21:D$34)/'Sch DG-R Cust Fcst'!$B40)</f>
        <v>0</v>
      </c>
      <c r="E41" s="41">
        <f>SUM(B41:D41)</f>
        <v>0</v>
      </c>
      <c r="F41" s="109">
        <f>IF(SUM(F$21:F$34)=0,0,SUM(F$21:F$34)/'Sch DG-R Cust Fcst'!$C40)</f>
        <v>0</v>
      </c>
      <c r="G41" s="23">
        <f>IF(SUM(G$21:G$34)=0,0,SUM(G$21:G$34)/'Sch DG-R Cust Fcst'!$C40)</f>
        <v>0</v>
      </c>
      <c r="H41" s="23">
        <f>IF(SUM(H$21:H$34)=0,0,SUM(H$21:H$34)/'Sch DG-R Cust Fcst'!$C40)</f>
        <v>0</v>
      </c>
      <c r="I41" s="41">
        <f>SUM(F41:H41)</f>
        <v>0</v>
      </c>
      <c r="J41" s="109">
        <f>IF(SUM(J$21:J$34)=0,0,SUM(J$21:J$34)/'Sch DG-R Cust Fcst'!$D40)</f>
        <v>0</v>
      </c>
      <c r="K41" s="23">
        <f>IF(SUM(K$21:K$34)=0,0,SUM(K$21:K$34)/'Sch DG-R Cust Fcst'!$D40)</f>
        <v>0</v>
      </c>
      <c r="L41" s="23">
        <f>IF(SUM(L$21:L$34)=0,0,SUM(L$21:L$34)/'Sch DG-R Cust Fcst'!$D40)</f>
        <v>0</v>
      </c>
      <c r="M41" s="41">
        <f>SUM(J41:L41)</f>
        <v>0</v>
      </c>
      <c r="N41" s="109">
        <f>IF(SUM(N$21:N$34)=0,0,SUM(N$21:N$34)/'Sch DG-R Cust Fcst'!$E40)</f>
        <v>25619.462569836032</v>
      </c>
      <c r="O41" s="23">
        <f>IF(SUM(O$21:O$34)=0,0,SUM(O$21:O$34)/'Sch DG-R Cust Fcst'!$E40)</f>
        <v>5515.3815454264959</v>
      </c>
      <c r="P41" s="23">
        <f>IF(SUM(P$21:P$34)=0,0,SUM(P$21:P$34)/'Sch DG-R Cust Fcst'!$E40)</f>
        <v>865.67585029149416</v>
      </c>
      <c r="Q41" s="41">
        <f>SUM(N41:P41)</f>
        <v>32000.51996555402</v>
      </c>
      <c r="R41" s="109">
        <f>IF(SUM(R$21:R$34)=0,0,SUM(R$21:R$34)/'Sch DG-R Cust Fcst'!$F40)</f>
        <v>25619.462569836032</v>
      </c>
      <c r="S41" s="23">
        <f>IF(SUM(S$21:S$34)=0,0,SUM(S$21:S$34)/'Sch DG-R Cust Fcst'!$F40)</f>
        <v>5515.3815454264959</v>
      </c>
      <c r="T41" s="23">
        <f>IF(SUM(T$21:T$34)=0,0,SUM(T$21:T$34)/'Sch DG-R Cust Fcst'!$F40)</f>
        <v>865.67585029149416</v>
      </c>
      <c r="U41" s="41">
        <f>SUM(R41:T41)</f>
        <v>32000.51996555402</v>
      </c>
      <c r="V41" s="109">
        <f>IF(SUM(V$21:V$34)=0,0,SUM(V$21:V$34)/'Sch DG-R Cust Fcst'!$G40)</f>
        <v>0</v>
      </c>
      <c r="W41" s="23">
        <f>IF(SUM(W$21:W$34)=0,0,SUM(W$21:W$34)/'Sch DG-R Cust Fcst'!$G40)</f>
        <v>3129.9273129422195</v>
      </c>
      <c r="X41" s="23">
        <f>IF(SUM(X$21:X$34)=0,0,SUM(X$21:X$34)/'Sch DG-R Cust Fcst'!$G40)</f>
        <v>967.82163835260417</v>
      </c>
      <c r="Y41" s="41">
        <f>SUM(V41:X41)</f>
        <v>4097.7489512948232</v>
      </c>
      <c r="Z41" s="109">
        <f>IF(SUM(Z$21:Z$34)=0,0,SUM(Z$21:Z$34)/'Sch DG-R Cust Fcst'!$H40)</f>
        <v>8539.8208566120102</v>
      </c>
      <c r="AA41" s="23">
        <f>IF(SUM(AA$21:AA$34)=0,0,SUM(AA$21:AA$34)/'Sch DG-R Cust Fcst'!$H40)</f>
        <v>3925.0787237703116</v>
      </c>
      <c r="AB41" s="23">
        <f>IF(SUM(AB$21:AB$34)=0,0,SUM(AB$21:AB$34)/'Sch DG-R Cust Fcst'!$H40)</f>
        <v>933.77304233223424</v>
      </c>
      <c r="AC41" s="41">
        <f>SUM(Z41:AB41)</f>
        <v>13398.672622714555</v>
      </c>
    </row>
    <row r="42" spans="1:29" ht="13.5" thickBot="1">
      <c r="A42" s="244" t="s">
        <v>140</v>
      </c>
      <c r="B42" s="177">
        <f>IF(SUM(B$35:B$37)=0,0,SUM(B$35:B$37)/'Sch DG-R Cust Fcst'!$B41)</f>
        <v>0</v>
      </c>
      <c r="C42" s="173">
        <f>IF(SUM(C$35:C$37)=0,0,SUM(C$35:C$37)/'Sch DG-R Cust Fcst'!$B41)</f>
        <v>0</v>
      </c>
      <c r="D42" s="173">
        <f>IF(SUM(D$35:D$37)=0,0,SUM(D$35:D$37)/'Sch DG-R Cust Fcst'!$B41)</f>
        <v>0</v>
      </c>
      <c r="E42" s="182">
        <f>SUM(B42:D42)</f>
        <v>0</v>
      </c>
      <c r="F42" s="177">
        <f>IF(SUM(F$35:F$37)=0,0,SUM(F$35:F$37)/'Sch DG-R Cust Fcst'!$C41)</f>
        <v>0</v>
      </c>
      <c r="G42" s="173">
        <f>IF(SUM(G$35:G$37)=0,0,SUM(G$35:G$37)/'Sch DG-R Cust Fcst'!$C41)</f>
        <v>0</v>
      </c>
      <c r="H42" s="173">
        <f>IF(SUM(H$35:H$37)=0,0,SUM(H$35:H$37)/'Sch DG-R Cust Fcst'!$C41)</f>
        <v>0</v>
      </c>
      <c r="I42" s="182">
        <f>SUM(F42:H42)</f>
        <v>0</v>
      </c>
      <c r="J42" s="177">
        <f>IF(SUM(J$35:J$37)=0,0,SUM(J$35:J$37)/'Sch DG-R Cust Fcst'!$D41)</f>
        <v>0</v>
      </c>
      <c r="K42" s="173">
        <f>IF(SUM(K$35:K$37)=0,0,SUM(K$35:K$37)/'Sch DG-R Cust Fcst'!$D41)</f>
        <v>0</v>
      </c>
      <c r="L42" s="173">
        <f>IF(SUM(L$35:L$37)=0,0,SUM(L$35:L$37)/'Sch DG-R Cust Fcst'!$D41)</f>
        <v>0</v>
      </c>
      <c r="M42" s="182">
        <f>SUM(J42:L42)</f>
        <v>0</v>
      </c>
      <c r="N42" s="177">
        <f>IF(SUM(N$35:N$37)=0,0,SUM(N$35:N$37)/'Sch DG-R Cust Fcst'!$E41)</f>
        <v>0</v>
      </c>
      <c r="O42" s="173">
        <f>IF(SUM(O$35:O$37)=0,0,SUM(O$35:O$37)/'Sch DG-R Cust Fcst'!$E41)</f>
        <v>0</v>
      </c>
      <c r="P42" s="173">
        <f>IF(SUM(P$35:P$37)=0,0,SUM(P$35:P$37)/'Sch DG-R Cust Fcst'!$E41)</f>
        <v>0</v>
      </c>
      <c r="Q42" s="182">
        <f>SUM(N42:P42)</f>
        <v>0</v>
      </c>
      <c r="R42" s="177">
        <f>IF(SUM(R$35:R$37)=0,0,SUM(R$35:R$37)/'Sch DG-R Cust Fcst'!$F41)</f>
        <v>0</v>
      </c>
      <c r="S42" s="173">
        <f>IF(SUM(S$35:S$37)=0,0,SUM(S$35:S$37)/'Sch DG-R Cust Fcst'!$F41)</f>
        <v>0</v>
      </c>
      <c r="T42" s="173">
        <f>IF(SUM(T$35:T$37)=0,0,SUM(T$35:T$37)/'Sch DG-R Cust Fcst'!$F41)</f>
        <v>0</v>
      </c>
      <c r="U42" s="182">
        <f>SUM(R42:T42)</f>
        <v>0</v>
      </c>
      <c r="V42" s="177">
        <f>IF(SUM(V$35:V$37)=0,0,SUM(V$35:V$37)/'Sch DG-R Cust Fcst'!$G41)</f>
        <v>0</v>
      </c>
      <c r="W42" s="173">
        <f>IF(SUM(W$35:W$37)=0,0,SUM(W$35:W$37)/'Sch DG-R Cust Fcst'!$G41)</f>
        <v>0</v>
      </c>
      <c r="X42" s="173">
        <f>IF(SUM(X$35:X$37)=0,0,SUM(X$35:X$37)/'Sch DG-R Cust Fcst'!$C41)</f>
        <v>0</v>
      </c>
      <c r="Y42" s="182">
        <f>SUM(V42:X42)</f>
        <v>0</v>
      </c>
      <c r="Z42" s="177">
        <f>IF(SUM(Z$35:Z$37)=0,0,SUM(Z$35:Z$37)/'Sch DG-R Cust Fcst'!$H41)</f>
        <v>0</v>
      </c>
      <c r="AA42" s="173">
        <f>IF(SUM(AA$35:AA$37)=0,0,SUM(AA$35:AA$37)/'Sch DG-R Cust Fcst'!$H41)</f>
        <v>0</v>
      </c>
      <c r="AB42" s="173">
        <f>IF(SUM(AB$35:AB$37)=0,0,SUM(AB$35:AB$37)/'Sch DG-R Cust Fcst'!$H41)</f>
        <v>0</v>
      </c>
      <c r="AC42" s="182">
        <f>SUM(Z42:AB42)</f>
        <v>0</v>
      </c>
    </row>
    <row r="43" spans="1:29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</row>
    <row r="44" spans="1:29" ht="13">
      <c r="A44" s="261" t="s">
        <v>86</v>
      </c>
      <c r="B44" s="18"/>
      <c r="C44" s="18"/>
      <c r="D44" s="18"/>
      <c r="E44" s="295">
        <f>IF(SUM(B7:D37)=0,0,SUM(B7:D37)/'Sch DG-R Cust Fcst'!B38)-E39</f>
        <v>0</v>
      </c>
      <c r="F44" s="18"/>
      <c r="G44" s="18"/>
      <c r="H44" s="18"/>
      <c r="I44" s="295">
        <f>IF(SUM(F7:H37)=0,0,SUM(F7:H37)/'Sch DG-R Cust Fcst'!C38)-I39</f>
        <v>0</v>
      </c>
      <c r="J44" s="18"/>
      <c r="K44" s="18"/>
      <c r="L44" s="18"/>
      <c r="M44" s="295">
        <f>IF(SUM(J7:L37)=0,0,SUM(J7:L37)/'Sch DG-R Cust Fcst'!D38)-M39</f>
        <v>0</v>
      </c>
      <c r="N44" s="18"/>
      <c r="O44" s="18"/>
      <c r="P44" s="18"/>
      <c r="Q44" s="295">
        <f>IF(SUM(N7:P37)=0,0,SUM(N7:P37)/'Sch DG-R Cust Fcst'!E38)-Q39</f>
        <v>0</v>
      </c>
      <c r="R44" s="18"/>
      <c r="S44" s="18"/>
      <c r="T44" s="18"/>
      <c r="U44" s="295">
        <f>IF(SUM(R7:T37)=0,0,SUM(R7:T37)/'Sch DG-R Cust Fcst'!F38)-U39</f>
        <v>0</v>
      </c>
      <c r="V44" s="18"/>
      <c r="W44" s="18"/>
      <c r="X44" s="18"/>
      <c r="Y44" s="295">
        <f>IF(SUM(V7:X37)=0,0,SUM(V7:X37)/'Sch DG-R Cust Fcst'!G38)-Y39</f>
        <v>0</v>
      </c>
      <c r="Z44" s="18"/>
      <c r="AA44" s="18"/>
      <c r="AB44" s="18"/>
      <c r="AC44" s="295">
        <f>IF(SUM(Z7:AB37)=0,0,SUM(Z7:AB37)/'Sch DG-R Cust Fcst'!H38)-AC39</f>
        <v>0</v>
      </c>
    </row>
    <row r="45" spans="1:29" ht="13">
      <c r="E45" s="295">
        <f>IF(SUM(B7:D20)=0,0,SUM(B7:D20)/'Sch DG-R Cust Fcst'!B39)-E40</f>
        <v>0</v>
      </c>
      <c r="I45" s="295">
        <f>IF(SUM(F7:H20)=0,0,SUM(F7:H20)/'Sch DG-R Cust Fcst'!C39)-I40</f>
        <v>0</v>
      </c>
      <c r="M45" s="295">
        <f>IF(SUM(J7:L20)=0,0,SUM(J7:L20)/'Sch DG-R Cust Fcst'!D39)-M40</f>
        <v>0</v>
      </c>
      <c r="Q45" s="295">
        <f>IF(SUM(N7:P20)=0,0,SUM(N7:P20)/'Sch DG-R Cust Fcst'!E39)-Q40</f>
        <v>0</v>
      </c>
      <c r="U45" s="295">
        <f>IF(SUM(R7:T20)=0,0,SUM(R7:T20)/'Sch DG-R Cust Fcst'!F39)-U40</f>
        <v>0</v>
      </c>
      <c r="Y45" s="295">
        <f>IF(SUM(V7:X20)=0,0,SUM(V7:X20)/'Sch DG-R Cust Fcst'!G39)-Y40</f>
        <v>0</v>
      </c>
      <c r="AC45" s="295">
        <f>IF(SUM(Z7:AB20)=0,0,SUM(Z7:AB20)/'Sch DG-R Cust Fcst'!H39)-AC40</f>
        <v>0</v>
      </c>
    </row>
    <row r="46" spans="1:29" ht="13">
      <c r="E46" s="295">
        <f>IF(SUM(B21:D34)=0,0,SUM(B21:D34)/'Sch DG-R Cust Fcst'!B40)-E41</f>
        <v>0</v>
      </c>
      <c r="I46" s="295">
        <f>IF(SUM(F21:H34)=0,0,SUM(F21:H34)/'Sch DG-R Cust Fcst'!C40)-I41</f>
        <v>0</v>
      </c>
      <c r="M46" s="295">
        <f>IF(SUM(J21:L34)=0,0,SUM(J21:L34)/'Sch DG-R Cust Fcst'!D40)-M41</f>
        <v>0</v>
      </c>
      <c r="Q46" s="295">
        <f>IF(SUM(N21:P34)=0,0,SUM(N21:P34)/'Sch DG-R Cust Fcst'!E40)-Q41</f>
        <v>0</v>
      </c>
      <c r="U46" s="295">
        <f>IF(SUM(R21:T34)=0,0,SUM(R21:T34)/'Sch DG-R Cust Fcst'!F40)-U41</f>
        <v>0</v>
      </c>
      <c r="Y46" s="295">
        <f>IF(SUM(V21:X34)=0,0,SUM(V21:X34)/'Sch DG-R Cust Fcst'!G40)-Y41</f>
        <v>0</v>
      </c>
      <c r="AC46" s="295">
        <f>IF(SUM(Z21:AB34)=0,0,SUM(Z21:AB34)/'Sch DG-R Cust Fcst'!H40)-AC41</f>
        <v>0</v>
      </c>
    </row>
    <row r="47" spans="1:29" ht="13">
      <c r="E47" s="295">
        <f>IF(SUM(B35:D37)=0,0,SUM(B35:D37)/'Sch DG-R Cust Fcst'!B41)-E42</f>
        <v>0</v>
      </c>
      <c r="I47" s="295">
        <f>IF(SUM(F35:H37)=0,0,SUM(F35:H37)/'Sch DG-R Cust Fcst'!C41)-I42</f>
        <v>0</v>
      </c>
      <c r="M47" s="295">
        <f>IF(SUM(J35:L37)=0,0,SUM(J35:L37)/'Sch DG-R Cust Fcst'!D41)-M42</f>
        <v>0</v>
      </c>
      <c r="Q47" s="295">
        <f>IF(SUM(N35:P37)=0,0,SUM(N35:P37)/'Sch DG-R Cust Fcst'!E41)-Q42</f>
        <v>0</v>
      </c>
      <c r="U47" s="295">
        <f>IF(SUM(R35:T37)=0,0,SUM(R35:T37)/'Sch DG-R Cust Fcst'!F41)-U42</f>
        <v>0</v>
      </c>
      <c r="Y47" s="295">
        <f>IF(SUM(V35:X37)=0,0,SUM(V35:X37)/'Sch DG-R Cust Fcst'!G41)-Y42</f>
        <v>0</v>
      </c>
      <c r="AC47" s="295">
        <f>IF(SUM(Z35:AB37)=0,0,SUM(Z35:AB37)/'Sch DG-R Cust Fcst'!H41)-AC42</f>
        <v>0</v>
      </c>
    </row>
    <row r="48" spans="1:29">
      <c r="A48" s="19"/>
      <c r="B48" s="19"/>
      <c r="C48" s="19"/>
      <c r="D48" s="19"/>
      <c r="E48" s="19"/>
    </row>
    <row r="60" spans="1:5">
      <c r="A60" s="19"/>
      <c r="B60" s="19"/>
      <c r="C60" s="19"/>
      <c r="D60" s="19"/>
      <c r="E60" s="19"/>
    </row>
  </sheetData>
  <mergeCells count="11">
    <mergeCell ref="Z3:AC3"/>
    <mergeCell ref="A1:Y1"/>
    <mergeCell ref="F2:U2"/>
    <mergeCell ref="V2:Y2"/>
    <mergeCell ref="Z2:AC2"/>
    <mergeCell ref="F3:I3"/>
    <mergeCell ref="J3:M3"/>
    <mergeCell ref="N3:Q3"/>
    <mergeCell ref="R3:U3"/>
    <mergeCell ref="V3:Y3"/>
    <mergeCell ref="B3:E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5">
    <tabColor rgb="FFFFC000"/>
    <pageSetUpPr fitToPage="1"/>
  </sheetPr>
  <dimension ref="A1:M56"/>
  <sheetViews>
    <sheetView topLeftCell="A16" zoomScaleNormal="100" workbookViewId="0">
      <selection activeCell="D35" sqref="D35"/>
    </sheetView>
  </sheetViews>
  <sheetFormatPr defaultRowHeight="12.5"/>
  <cols>
    <col min="1" max="1" width="40.7265625" customWidth="1"/>
    <col min="2" max="2" width="10.26953125" style="12" customWidth="1"/>
    <col min="3" max="3" width="17.1796875" style="12" bestFit="1" customWidth="1"/>
    <col min="4" max="4" width="13.54296875" style="12" customWidth="1"/>
    <col min="5" max="5" width="14.7265625" style="12" bestFit="1" customWidth="1"/>
    <col min="6" max="6" width="13.7265625" style="12" bestFit="1" customWidth="1"/>
    <col min="7" max="7" width="17.1796875" style="12" bestFit="1" customWidth="1"/>
    <col min="8" max="8" width="8.7265625" style="12" bestFit="1" customWidth="1"/>
    <col min="9" max="9" width="13.7265625" style="12" bestFit="1" customWidth="1"/>
    <col min="10" max="10" width="14.81640625" bestFit="1" customWidth="1"/>
    <col min="11" max="11" width="17.1796875" bestFit="1" customWidth="1"/>
    <col min="12" max="12" width="13.54296875" customWidth="1"/>
    <col min="13" max="13" width="14.7265625" bestFit="1" customWidth="1"/>
  </cols>
  <sheetData>
    <row r="1" spans="1:13" ht="18.5" thickBot="1">
      <c r="A1" s="735" t="s">
        <v>148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145</v>
      </c>
      <c r="K2" s="737"/>
      <c r="L2" s="737"/>
      <c r="M2" s="738"/>
    </row>
    <row r="3" spans="1:13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128</v>
      </c>
      <c r="F3" s="298" t="s">
        <v>144</v>
      </c>
      <c r="G3" s="299" t="s">
        <v>119</v>
      </c>
      <c r="H3" s="299" t="s">
        <v>85</v>
      </c>
      <c r="I3" s="445" t="s">
        <v>129</v>
      </c>
      <c r="J3" s="298" t="s">
        <v>144</v>
      </c>
      <c r="K3" s="299" t="s">
        <v>119</v>
      </c>
      <c r="L3" s="299" t="s">
        <v>85</v>
      </c>
      <c r="M3" s="445" t="s">
        <v>2</v>
      </c>
    </row>
    <row r="4" spans="1:13" ht="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 ht="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 ht="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 ht="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 ht="13">
      <c r="A8" s="117" t="s">
        <v>53</v>
      </c>
      <c r="B8" s="115">
        <f>'Sch DG-R TSM'!R40</f>
        <v>12844.675925929201</v>
      </c>
      <c r="C8" s="134">
        <f>'Sch DG-R TSM'!R41</f>
        <v>25619.462569836032</v>
      </c>
      <c r="D8" s="134"/>
      <c r="E8" s="44">
        <f>'Sch DG-R TSM'!R39</f>
        <v>13220.404944867636</v>
      </c>
      <c r="F8" s="115">
        <f>'Sch DG-R TSM'!V40</f>
        <v>0</v>
      </c>
      <c r="G8" s="134">
        <f>'Sch DG-R TSM'!V41</f>
        <v>0</v>
      </c>
      <c r="H8" s="134"/>
      <c r="I8" s="44">
        <f>'Sch DG-R TSM'!V39</f>
        <v>0</v>
      </c>
      <c r="J8" s="115">
        <f>'Sch DG-R TSM'!Z40</f>
        <v>11996.442610065951</v>
      </c>
      <c r="K8" s="134">
        <f>'Sch DG-R TSM'!Z41</f>
        <v>8539.8208566120102</v>
      </c>
      <c r="L8" s="134"/>
      <c r="M8" s="44">
        <f>'Sch DG-R TSM'!Z39</f>
        <v>11725.924385882598</v>
      </c>
    </row>
    <row r="9" spans="1:13" ht="13">
      <c r="A9" s="117" t="s">
        <v>51</v>
      </c>
      <c r="B9" s="115">
        <f>'Sch DG-R TSM'!S40</f>
        <v>2376.025767367516</v>
      </c>
      <c r="C9" s="134">
        <f>'Sch DG-R TSM'!S41</f>
        <v>5515.3815454264959</v>
      </c>
      <c r="D9" s="134"/>
      <c r="E9" s="44">
        <f>'Sch DG-R TSM'!S39</f>
        <v>2468.3597608398391</v>
      </c>
      <c r="F9" s="115">
        <f>'Sch DG-R TSM'!W40</f>
        <v>3129.927312942219</v>
      </c>
      <c r="G9" s="134">
        <f>'Sch DG-R TSM'!W41</f>
        <v>3129.9273129422195</v>
      </c>
      <c r="H9" s="134"/>
      <c r="I9" s="44">
        <f>'Sch DG-R TSM'!W39</f>
        <v>3129.9273129422195</v>
      </c>
      <c r="J9" s="115">
        <f>'Sch DG-R TSM'!AA40</f>
        <v>2425.8117184903736</v>
      </c>
      <c r="K9" s="134">
        <f>'Sch DG-R TSM'!AA41</f>
        <v>3925.0787237703116</v>
      </c>
      <c r="L9" s="134"/>
      <c r="M9" s="44">
        <f>'Sch DG-R TSM'!AA39</f>
        <v>2543.1456580340209</v>
      </c>
    </row>
    <row r="10" spans="1:13" ht="13">
      <c r="A10" s="117" t="s">
        <v>52</v>
      </c>
      <c r="B10" s="115">
        <f>'Sch DG-R TSM'!T40</f>
        <v>750.3912587619327</v>
      </c>
      <c r="C10" s="134">
        <f>'Sch DG-R TSM'!T41</f>
        <v>865.67585029149416</v>
      </c>
      <c r="D10" s="134"/>
      <c r="E10" s="44">
        <f>'Sch DG-R TSM'!T39</f>
        <v>753.78198204221383</v>
      </c>
      <c r="F10" s="115">
        <f>'Sch DG-R TSM'!X40</f>
        <v>967.82163835260417</v>
      </c>
      <c r="G10" s="134">
        <f>'Sch DG-R TSM'!X41</f>
        <v>967.82163835260417</v>
      </c>
      <c r="H10" s="134"/>
      <c r="I10" s="44">
        <f>'Sch DG-R TSM'!X39</f>
        <v>967.82163835260428</v>
      </c>
      <c r="J10" s="115">
        <f>'Sch DG-R TSM'!AB40</f>
        <v>764.74986873490161</v>
      </c>
      <c r="K10" s="134">
        <f>'Sch DG-R TSM'!AB41</f>
        <v>933.77304233223424</v>
      </c>
      <c r="L10" s="134"/>
      <c r="M10" s="44">
        <f>'Sch DG-R TSM'!AB39</f>
        <v>777.97776927730149</v>
      </c>
    </row>
    <row r="11" spans="1:13" ht="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 ht="13">
      <c r="A12" s="117" t="s">
        <v>35</v>
      </c>
      <c r="B12" s="114">
        <f t="shared" ref="B12:M12" si="0">SUM(B8:B10)</f>
        <v>15971.092952058649</v>
      </c>
      <c r="C12" s="30">
        <f t="shared" si="0"/>
        <v>32000.51996555402</v>
      </c>
      <c r="D12" s="30"/>
      <c r="E12" s="40">
        <f t="shared" si="0"/>
        <v>16442.546687749691</v>
      </c>
      <c r="F12" s="114">
        <f t="shared" si="0"/>
        <v>4097.7489512948232</v>
      </c>
      <c r="G12" s="30">
        <f t="shared" si="0"/>
        <v>4097.7489512948232</v>
      </c>
      <c r="H12" s="30"/>
      <c r="I12" s="40">
        <f t="shared" si="0"/>
        <v>4097.7489512948241</v>
      </c>
      <c r="J12" s="114">
        <f t="shared" si="0"/>
        <v>15187.004197291226</v>
      </c>
      <c r="K12" s="30">
        <f t="shared" si="0"/>
        <v>13398.672622714555</v>
      </c>
      <c r="L12" s="30"/>
      <c r="M12" s="40">
        <f t="shared" si="0"/>
        <v>15047.04781319392</v>
      </c>
    </row>
    <row r="13" spans="1:13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 ht="13">
      <c r="A15" s="377">
        <f>Inputs!C3</f>
        <v>2.9094935671404847E-2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 ht="13">
      <c r="A17" s="47">
        <f>Inputs!C4</f>
        <v>1.99475E-2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 ht="13">
      <c r="A18" s="378" t="s">
        <v>92</v>
      </c>
      <c r="B18" s="114">
        <f t="shared" ref="B18:E20" si="1">(B8*(1+$A$15)*(1+$A$17))</f>
        <v>13482.064799103786</v>
      </c>
      <c r="C18" s="30">
        <f t="shared" si="1"/>
        <v>26890.772213838976</v>
      </c>
      <c r="D18" s="30"/>
      <c r="E18" s="40">
        <f t="shared" si="1"/>
        <v>13876.438546595995</v>
      </c>
      <c r="F18" s="114">
        <f t="shared" ref="F18:M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>
        <f t="shared" si="2"/>
        <v>12591.739765200704</v>
      </c>
      <c r="K18" s="30">
        <f t="shared" si="2"/>
        <v>8963.5907379463242</v>
      </c>
      <c r="L18" s="30"/>
      <c r="M18" s="40">
        <f t="shared" si="2"/>
        <v>12307.797667415578</v>
      </c>
    </row>
    <row r="19" spans="1:13" ht="13">
      <c r="A19" s="378" t="s">
        <v>51</v>
      </c>
      <c r="B19" s="114">
        <f t="shared" si="1"/>
        <v>2493.9308352127059</v>
      </c>
      <c r="C19" s="30">
        <f t="shared" si="1"/>
        <v>5789.0702588389349</v>
      </c>
      <c r="D19" s="30"/>
      <c r="E19" s="40">
        <f t="shared" si="1"/>
        <v>2590.8467006134774</v>
      </c>
      <c r="F19" s="114">
        <f t="shared" ref="F19:M19" si="3">(F9*(1+$A$15)*(1+$A$17))</f>
        <v>3285.2430916056092</v>
      </c>
      <c r="G19" s="30">
        <f t="shared" si="3"/>
        <v>3285.2430916056096</v>
      </c>
      <c r="H19" s="30"/>
      <c r="I19" s="40">
        <f t="shared" si="3"/>
        <v>3285.2430916056096</v>
      </c>
      <c r="J19" s="114">
        <f t="shared" si="3"/>
        <v>2546.1873049745013</v>
      </c>
      <c r="K19" s="30">
        <f t="shared" si="3"/>
        <v>4119.8521473500514</v>
      </c>
      <c r="L19" s="30"/>
      <c r="M19" s="40">
        <f t="shared" si="3"/>
        <v>2669.3436839430228</v>
      </c>
    </row>
    <row r="20" spans="1:13" ht="13">
      <c r="A20" s="378" t="s">
        <v>52</v>
      </c>
      <c r="B20" s="114">
        <f t="shared" si="1"/>
        <v>787.62777929545678</v>
      </c>
      <c r="C20" s="30">
        <f t="shared" si="1"/>
        <v>908.63311584911696</v>
      </c>
      <c r="D20" s="30"/>
      <c r="E20" s="40">
        <f t="shared" si="1"/>
        <v>791.1867597823292</v>
      </c>
      <c r="F20" s="114">
        <f t="shared" ref="F20:M20" si="4">(F10*(1+$A$15)*(1+$A$17))</f>
        <v>1015.8476646269044</v>
      </c>
      <c r="G20" s="30">
        <f t="shared" si="4"/>
        <v>1015.8476646269044</v>
      </c>
      <c r="H20" s="30"/>
      <c r="I20" s="40">
        <f t="shared" si="4"/>
        <v>1015.8476646269045</v>
      </c>
      <c r="J20" s="114">
        <f t="shared" si="4"/>
        <v>802.69890379847709</v>
      </c>
      <c r="K20" s="30">
        <f t="shared" si="4"/>
        <v>980.10948170097527</v>
      </c>
      <c r="L20" s="30"/>
      <c r="M20" s="40">
        <f t="shared" si="4"/>
        <v>816.58320989519427</v>
      </c>
    </row>
    <row r="21" spans="1:13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 ht="13">
      <c r="A22" s="117" t="s">
        <v>35</v>
      </c>
      <c r="B22" s="119">
        <f t="shared" ref="B22:M22" si="5">B18+B19+B20</f>
        <v>16763.623413611949</v>
      </c>
      <c r="C22" s="73">
        <f t="shared" si="5"/>
        <v>33588.475588527028</v>
      </c>
      <c r="D22" s="73"/>
      <c r="E22" s="75">
        <f t="shared" si="5"/>
        <v>17258.4720069918</v>
      </c>
      <c r="F22" s="119">
        <f t="shared" si="5"/>
        <v>4301.0907562325137</v>
      </c>
      <c r="G22" s="73">
        <f t="shared" si="5"/>
        <v>4301.0907562325137</v>
      </c>
      <c r="H22" s="73"/>
      <c r="I22" s="75">
        <f t="shared" si="5"/>
        <v>4301.0907562325137</v>
      </c>
      <c r="J22" s="119">
        <f t="shared" si="5"/>
        <v>15940.625973973682</v>
      </c>
      <c r="K22" s="73">
        <f>K18+K19+K20</f>
        <v>14063.552366997352</v>
      </c>
      <c r="L22" s="73"/>
      <c r="M22" s="75">
        <f t="shared" si="5"/>
        <v>15793.724561253795</v>
      </c>
    </row>
    <row r="23" spans="1:13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 ht="13">
      <c r="A24" s="378" t="str">
        <f>'Resid TSM Sum by Rate Schedule'!A25</f>
        <v>Annualized Transformer Cost at 8.05%</v>
      </c>
      <c r="B24" s="119">
        <f>B18*Inputs!$C$5</f>
        <v>1085.0185432222524</v>
      </c>
      <c r="C24" s="73">
        <f>C18*Inputs!$C$5</f>
        <v>2164.1333822635625</v>
      </c>
      <c r="D24" s="73"/>
      <c r="E24" s="75">
        <f>E18*Inputs!$C$5</f>
        <v>1116.7572149587616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>
        <f>J18*Inputs!$C$5</f>
        <v>1013.366375273613</v>
      </c>
      <c r="K24" s="73">
        <f>K18*Inputs!$C$5</f>
        <v>721.377794087854</v>
      </c>
      <c r="L24" s="73"/>
      <c r="M24" s="75">
        <f>M18*Inputs!$C$5</f>
        <v>990.51509500690145</v>
      </c>
    </row>
    <row r="25" spans="1:13" ht="13">
      <c r="A25" s="378" t="str">
        <f>'Resid TSM Sum by Rate Schedule'!A26</f>
        <v>Annualized Services Cost at 7.08%</v>
      </c>
      <c r="B25" s="119">
        <f>B19*Inputs!$C$6</f>
        <v>176.50810435271964</v>
      </c>
      <c r="C25" s="73">
        <f>C19*Inputs!$C$6</f>
        <v>409.72179457623901</v>
      </c>
      <c r="D25" s="73"/>
      <c r="E25" s="75">
        <f>E19*Inputs!$C$6</f>
        <v>183.36733053576435</v>
      </c>
      <c r="F25" s="119">
        <f>F19*Inputs!$C$6</f>
        <v>232.51327673155669</v>
      </c>
      <c r="G25" s="73">
        <f>G19*Inputs!$C$6</f>
        <v>232.51327673155672</v>
      </c>
      <c r="H25" s="73"/>
      <c r="I25" s="75">
        <f>I19*Inputs!$C$6</f>
        <v>232.51327673155672</v>
      </c>
      <c r="J25" s="119">
        <f>J19*Inputs!$C$6</f>
        <v>180.20655913245417</v>
      </c>
      <c r="K25" s="73">
        <f>K19*Inputs!$C$6</f>
        <v>291.58278267978415</v>
      </c>
      <c r="L25" s="73"/>
      <c r="M25" s="75">
        <f>M19*Inputs!$C$6</f>
        <v>188.92295923615828</v>
      </c>
    </row>
    <row r="26" spans="1:13" ht="16">
      <c r="A26" s="378" t="str">
        <f>'Resid TSM Sum by Rate Schedule'!A27</f>
        <v>Annualized Meter Cost at 10.78%</v>
      </c>
      <c r="B26" s="459">
        <f>B20*Inputs!$C$7</f>
        <v>84.879849181332332</v>
      </c>
      <c r="C26" s="458">
        <f>C20*Inputs!$C$7</f>
        <v>97.920164653697341</v>
      </c>
      <c r="D26" s="458"/>
      <c r="E26" s="457">
        <f>E20*Inputs!$C$7</f>
        <v>85.263387871696011</v>
      </c>
      <c r="F26" s="459">
        <f>F20*Inputs!$C$7</f>
        <v>109.47429589376556</v>
      </c>
      <c r="G26" s="458">
        <f>G20*Inputs!$C$7</f>
        <v>109.47429589376556</v>
      </c>
      <c r="H26" s="458"/>
      <c r="I26" s="457">
        <f>I20*Inputs!$C$7</f>
        <v>109.47429589376557</v>
      </c>
      <c r="J26" s="459">
        <f>J20*Inputs!$C$7</f>
        <v>86.504010756681708</v>
      </c>
      <c r="K26" s="458">
        <f>K20*Inputs!$C$7</f>
        <v>105.62291881374281</v>
      </c>
      <c r="L26" s="458"/>
      <c r="M26" s="457">
        <f>M20*Inputs!$C$7</f>
        <v>88.000273126364746</v>
      </c>
    </row>
    <row r="27" spans="1:13" ht="13">
      <c r="A27" s="453" t="s">
        <v>275</v>
      </c>
      <c r="B27" s="119">
        <f>SUM(B24:B26)</f>
        <v>1346.4064967563043</v>
      </c>
      <c r="C27" s="73">
        <f t="shared" ref="C27:M27" si="6">SUM(C24:C26)</f>
        <v>2671.7753414934987</v>
      </c>
      <c r="D27" s="73"/>
      <c r="E27" s="75">
        <f t="shared" si="6"/>
        <v>1385.3879333662219</v>
      </c>
      <c r="F27" s="119">
        <f t="shared" si="6"/>
        <v>341.98757262532223</v>
      </c>
      <c r="G27" s="73">
        <f t="shared" si="6"/>
        <v>341.98757262532229</v>
      </c>
      <c r="H27" s="73"/>
      <c r="I27" s="75">
        <f t="shared" si="6"/>
        <v>341.98757262532229</v>
      </c>
      <c r="J27" s="119">
        <f t="shared" si="6"/>
        <v>1280.0769451627489</v>
      </c>
      <c r="K27" s="73">
        <f t="shared" si="6"/>
        <v>1118.5834955813809</v>
      </c>
      <c r="L27" s="73"/>
      <c r="M27" s="75">
        <f t="shared" si="6"/>
        <v>1267.4383273694245</v>
      </c>
    </row>
    <row r="28" spans="1:13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 ht="13">
      <c r="A29" s="117" t="s">
        <v>50</v>
      </c>
      <c r="B29" s="114">
        <f>'Distribution O&amp;M Allocations'!$V$20</f>
        <v>178.57187080987356</v>
      </c>
      <c r="C29" s="30">
        <f>'Distribution O&amp;M Allocations'!$V$20</f>
        <v>178.57187080987356</v>
      </c>
      <c r="D29" s="30"/>
      <c r="E29" s="30">
        <f>'Distribution O&amp;M Allocations'!$V$20</f>
        <v>178.57187080987356</v>
      </c>
      <c r="F29" s="114">
        <f>'Distribution O&amp;M Allocations'!$W$20</f>
        <v>44.503002499429712</v>
      </c>
      <c r="G29" s="30">
        <f>'Distribution O&amp;M Allocations'!$W$20</f>
        <v>44.503002499429712</v>
      </c>
      <c r="H29" s="30"/>
      <c r="I29" s="30">
        <f>'Distribution O&amp;M Allocations'!$W$20</f>
        <v>44.503002499429712</v>
      </c>
      <c r="J29" s="114">
        <f>'Distribution O&amp;M Allocations'!$W$24</f>
        <v>163.4162596095625</v>
      </c>
      <c r="K29" s="30">
        <f>'Distribution O&amp;M Allocations'!$W$24</f>
        <v>163.4162596095625</v>
      </c>
      <c r="L29" s="30"/>
      <c r="M29" s="40">
        <f>'Distribution O&amp;M Allocations'!$W$24</f>
        <v>163.4162596095625</v>
      </c>
    </row>
    <row r="30" spans="1:13" ht="13">
      <c r="A30" s="118"/>
      <c r="B30" s="10"/>
      <c r="C30" s="27"/>
      <c r="D30" s="27"/>
      <c r="E30" s="81"/>
      <c r="F30" s="10"/>
      <c r="G30" s="27"/>
      <c r="H30" s="27"/>
      <c r="I30" s="81"/>
      <c r="J30" s="114"/>
      <c r="K30" s="30"/>
      <c r="L30" s="30"/>
      <c r="M30" s="40"/>
    </row>
    <row r="31" spans="1:13" ht="13">
      <c r="A31" s="117" t="s">
        <v>57</v>
      </c>
      <c r="B31" s="717">
        <v>447.86258547437507</v>
      </c>
      <c r="C31" s="718">
        <v>447.86258547437507</v>
      </c>
      <c r="D31" s="718"/>
      <c r="E31" s="718">
        <v>447.86258547437507</v>
      </c>
      <c r="F31" s="717">
        <v>447.86258547437507</v>
      </c>
      <c r="G31" s="718">
        <v>447.86258547437507</v>
      </c>
      <c r="H31" s="718"/>
      <c r="I31" s="718">
        <v>447.86258547437507</v>
      </c>
      <c r="J31" s="719">
        <v>447.86258547437507</v>
      </c>
      <c r="K31" s="610">
        <v>447.86258547437507</v>
      </c>
      <c r="L31" s="610"/>
      <c r="M31" s="711">
        <v>447.86258547437507</v>
      </c>
    </row>
    <row r="32" spans="1:13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79" t="s">
        <v>126</v>
      </c>
      <c r="B33" s="279">
        <f t="shared" ref="B33:M33" si="7">B27+B29+B31</f>
        <v>1972.8409530405529</v>
      </c>
      <c r="C33" s="280">
        <f t="shared" si="7"/>
        <v>3298.2097977777471</v>
      </c>
      <c r="D33" s="280"/>
      <c r="E33" s="291">
        <f t="shared" si="7"/>
        <v>2011.8223896504705</v>
      </c>
      <c r="F33" s="279">
        <f t="shared" si="7"/>
        <v>834.35316059912702</v>
      </c>
      <c r="G33" s="280">
        <f t="shared" si="7"/>
        <v>834.35316059912702</v>
      </c>
      <c r="H33" s="280"/>
      <c r="I33" s="291">
        <f t="shared" si="7"/>
        <v>834.35316059912702</v>
      </c>
      <c r="J33" s="279">
        <f t="shared" si="7"/>
        <v>1891.3557902466864</v>
      </c>
      <c r="K33" s="280">
        <f t="shared" si="7"/>
        <v>1729.8623406653185</v>
      </c>
      <c r="L33" s="280"/>
      <c r="M33" s="291">
        <f t="shared" si="7"/>
        <v>1878.7171724533621</v>
      </c>
    </row>
    <row r="34" spans="1:13">
      <c r="B34" s="13"/>
      <c r="C34" s="13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</row>
    <row r="56" spans="1:1">
      <c r="A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6">
    <tabColor rgb="FFFFC000"/>
    <pageSetUpPr fitToPage="1"/>
  </sheetPr>
  <dimension ref="A1:M58"/>
  <sheetViews>
    <sheetView zoomScaleNormal="100" workbookViewId="0">
      <selection activeCell="A20" sqref="A20"/>
    </sheetView>
  </sheetViews>
  <sheetFormatPr defaultRowHeight="12.5"/>
  <cols>
    <col min="1" max="1" width="40.7265625" customWidth="1"/>
    <col min="2" max="2" width="10.26953125" style="12" customWidth="1"/>
    <col min="3" max="3" width="14.81640625" style="12" bestFit="1" customWidth="1"/>
    <col min="4" max="4" width="13.54296875" style="12" customWidth="1"/>
    <col min="5" max="5" width="14.7265625" style="12" bestFit="1" customWidth="1"/>
    <col min="6" max="7" width="14" style="12" bestFit="1" customWidth="1"/>
    <col min="8" max="8" width="13.54296875" style="12" customWidth="1"/>
    <col min="9" max="9" width="14" style="12" bestFit="1" customWidth="1"/>
    <col min="10" max="10" width="14.7265625" bestFit="1" customWidth="1"/>
    <col min="11" max="11" width="14.81640625" bestFit="1" customWidth="1"/>
    <col min="12" max="12" width="13.54296875" customWidth="1"/>
    <col min="13" max="13" width="14.81640625" bestFit="1" customWidth="1"/>
  </cols>
  <sheetData>
    <row r="1" spans="1:13" ht="18.5" thickBot="1">
      <c r="A1" s="735" t="s">
        <v>295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03"/>
      <c r="B2" s="739" t="s">
        <v>0</v>
      </c>
      <c r="C2" s="739"/>
      <c r="D2" s="739"/>
      <c r="E2" s="740"/>
      <c r="F2" s="737" t="s">
        <v>1</v>
      </c>
      <c r="G2" s="737"/>
      <c r="H2" s="737"/>
      <c r="I2" s="738"/>
      <c r="J2" s="737" t="s">
        <v>145</v>
      </c>
      <c r="K2" s="737"/>
      <c r="L2" s="737"/>
      <c r="M2" s="738"/>
    </row>
    <row r="3" spans="1:13" ht="13.5" thickBot="1">
      <c r="A3" s="77" t="s">
        <v>47</v>
      </c>
      <c r="B3" s="299" t="s">
        <v>144</v>
      </c>
      <c r="C3" s="299" t="s">
        <v>139</v>
      </c>
      <c r="D3" s="299" t="s">
        <v>85</v>
      </c>
      <c r="E3" s="445" t="s">
        <v>128</v>
      </c>
      <c r="F3" s="299" t="s">
        <v>144</v>
      </c>
      <c r="G3" s="299" t="s">
        <v>139</v>
      </c>
      <c r="H3" s="299" t="s">
        <v>85</v>
      </c>
      <c r="I3" s="445" t="s">
        <v>129</v>
      </c>
      <c r="J3" s="299" t="s">
        <v>144</v>
      </c>
      <c r="K3" s="299" t="s">
        <v>139</v>
      </c>
      <c r="L3" s="299" t="s">
        <v>85</v>
      </c>
      <c r="M3" s="445" t="s">
        <v>2</v>
      </c>
    </row>
    <row r="4" spans="1:13" ht="13">
      <c r="A4" s="35"/>
      <c r="B4" s="5"/>
      <c r="C4" s="6"/>
      <c r="D4" s="6"/>
      <c r="E4" s="7"/>
      <c r="F4" s="6"/>
      <c r="G4" s="6"/>
      <c r="H4" s="6"/>
      <c r="I4" s="6"/>
      <c r="J4" s="5"/>
      <c r="K4" s="6"/>
      <c r="L4" s="6"/>
      <c r="M4" s="7"/>
    </row>
    <row r="5" spans="1:13" ht="13">
      <c r="A5" s="36"/>
      <c r="B5" s="104"/>
      <c r="C5" s="8"/>
      <c r="D5" s="8"/>
      <c r="E5" s="9"/>
      <c r="F5" s="8"/>
      <c r="G5" s="8"/>
      <c r="H5" s="8"/>
      <c r="I5" s="8"/>
      <c r="J5" s="104"/>
      <c r="K5" s="8"/>
      <c r="L5" s="8"/>
      <c r="M5" s="9"/>
    </row>
    <row r="6" spans="1:13" ht="13">
      <c r="A6" s="36" t="s">
        <v>49</v>
      </c>
      <c r="B6" s="114"/>
      <c r="C6" s="30"/>
      <c r="D6" s="30"/>
      <c r="E6" s="40"/>
      <c r="F6" s="30"/>
      <c r="G6" s="30"/>
      <c r="H6" s="30"/>
      <c r="I6" s="30"/>
      <c r="J6" s="114"/>
      <c r="K6" s="30"/>
      <c r="L6" s="30"/>
      <c r="M6" s="40"/>
    </row>
    <row r="7" spans="1:13" ht="13">
      <c r="A7" s="37"/>
      <c r="B7" s="114"/>
      <c r="C7" s="30"/>
      <c r="D7" s="30"/>
      <c r="E7" s="40"/>
      <c r="F7" s="30"/>
      <c r="G7" s="30"/>
      <c r="H7" s="30"/>
      <c r="I7" s="30"/>
      <c r="J7" s="114"/>
      <c r="K7" s="30"/>
      <c r="L7" s="30"/>
      <c r="M7" s="40"/>
    </row>
    <row r="8" spans="1:13" ht="13">
      <c r="A8" s="36" t="s">
        <v>53</v>
      </c>
      <c r="B8" s="115">
        <f>'Sch DG-R TSM Summary'!B8*Inputs!$C$12</f>
        <v>13938.323834946255</v>
      </c>
      <c r="C8" s="134">
        <f>'Sch DG-R TSM Summary'!C8*Inputs!$C$12</f>
        <v>27800.807730369146</v>
      </c>
      <c r="D8" s="134"/>
      <c r="E8" s="44">
        <f>'Sch DG-R TSM Summary'!E8*Inputs!$C$12</f>
        <v>14346.043949517516</v>
      </c>
      <c r="F8" s="134">
        <f>'Sch DG-R TSM Summary'!F8*Inputs!$C$12</f>
        <v>0</v>
      </c>
      <c r="G8" s="134">
        <f>'Sch DG-R TSM Summary'!G8*Inputs!$C$12</f>
        <v>0</v>
      </c>
      <c r="H8" s="134"/>
      <c r="I8" s="134">
        <f>'Sch DG-R TSM Summary'!I8*Inputs!$C$12</f>
        <v>0</v>
      </c>
      <c r="J8" s="115">
        <f>'Sch DG-R TSM Summary'!J8*Inputs!$C$12</f>
        <v>13017.868487355463</v>
      </c>
      <c r="K8" s="134">
        <f>'Sch DG-R TSM Summary'!K8*Inputs!$C$12</f>
        <v>9266.9359101230475</v>
      </c>
      <c r="L8" s="134"/>
      <c r="M8" s="44">
        <f>'Sch DG-R TSM Summary'!M8*Inputs!$C$12</f>
        <v>12724.317242180752</v>
      </c>
    </row>
    <row r="9" spans="1:13" ht="13">
      <c r="A9" s="36" t="s">
        <v>51</v>
      </c>
      <c r="B9" s="115">
        <f>'Sch DG-R TSM Summary'!B9*Inputs!$C$12</f>
        <v>2578.330257355195</v>
      </c>
      <c r="C9" s="134">
        <f>'Sch DG-R TSM Summary'!C9*Inputs!$C$12</f>
        <v>5984.9835446805628</v>
      </c>
      <c r="D9" s="134"/>
      <c r="E9" s="44">
        <f>'Sch DG-R TSM Summary'!E9*Inputs!$C$12</f>
        <v>2678.5259422765293</v>
      </c>
      <c r="F9" s="134">
        <f>'Sch DG-R TSM Summary'!F9*Inputs!$C$12</f>
        <v>3396.4220443713421</v>
      </c>
      <c r="G9" s="134">
        <f>'Sch DG-R TSM Summary'!G9*Inputs!$C$12</f>
        <v>3396.4220443713425</v>
      </c>
      <c r="H9" s="134"/>
      <c r="I9" s="134">
        <f>'Sch DG-R TSM Summary'!I9*Inputs!$C$12</f>
        <v>3396.4220443713425</v>
      </c>
      <c r="J9" s="115">
        <f>'Sch DG-R TSM Summary'!J9*Inputs!$C$12</f>
        <v>2632.3551866864495</v>
      </c>
      <c r="K9" s="134">
        <f>'Sch DG-R TSM Summary'!K9*Inputs!$C$12</f>
        <v>4259.2758778077496</v>
      </c>
      <c r="L9" s="134"/>
      <c r="M9" s="44">
        <f>'Sch DG-R TSM Summary'!M9*Inputs!$C$12</f>
        <v>2759.6794146872471</v>
      </c>
    </row>
    <row r="10" spans="1:13" ht="13">
      <c r="A10" s="36" t="s">
        <v>52</v>
      </c>
      <c r="B10" s="115">
        <f>'Sch DG-R TSM Summary'!B10*Inputs!$C$12</f>
        <v>814.28262011835363</v>
      </c>
      <c r="C10" s="134">
        <f>'Sch DG-R TSM Summary'!C10*Inputs!$C$12</f>
        <v>939.38301028660817</v>
      </c>
      <c r="D10" s="134"/>
      <c r="E10" s="44">
        <f>'Sch DG-R TSM Summary'!E10*Inputs!$C$12</f>
        <v>817.96204335859625</v>
      </c>
      <c r="F10" s="134">
        <f>'Sch DG-R TSM Summary'!F10*Inputs!$C$12</f>
        <v>1050.2259058630914</v>
      </c>
      <c r="G10" s="134">
        <f>'Sch DG-R TSM Summary'!G10*Inputs!$C$12</f>
        <v>1050.2259058630914</v>
      </c>
      <c r="H10" s="134"/>
      <c r="I10" s="134">
        <f>'Sch DG-R TSM Summary'!I10*Inputs!$C$12</f>
        <v>1050.2259058630916</v>
      </c>
      <c r="J10" s="115">
        <f>'Sch DG-R TSM Summary'!J10*Inputs!$C$12</f>
        <v>829.86378049772316</v>
      </c>
      <c r="K10" s="134">
        <f>'Sch DG-R TSM Summary'!K10*Inputs!$C$12</f>
        <v>1013.2782740042637</v>
      </c>
      <c r="L10" s="134"/>
      <c r="M10" s="44">
        <f>'Sch DG-R TSM Summary'!M10*Inputs!$C$12</f>
        <v>844.21795825040886</v>
      </c>
    </row>
    <row r="11" spans="1:13" ht="13">
      <c r="A11" s="38"/>
      <c r="B11" s="114"/>
      <c r="C11" s="30"/>
      <c r="D11" s="30"/>
      <c r="E11" s="40"/>
      <c r="F11" s="30"/>
      <c r="G11" s="30"/>
      <c r="H11" s="30"/>
      <c r="I11" s="30"/>
      <c r="J11" s="114"/>
      <c r="K11" s="30"/>
      <c r="L11" s="30"/>
      <c r="M11" s="40"/>
    </row>
    <row r="12" spans="1:13" ht="13">
      <c r="A12" s="36" t="s">
        <v>35</v>
      </c>
      <c r="B12" s="114">
        <f t="shared" ref="B12:M12" si="0">SUM(B8:B10)</f>
        <v>17330.936712419803</v>
      </c>
      <c r="C12" s="30">
        <f t="shared" si="0"/>
        <v>34725.17428533631</v>
      </c>
      <c r="D12" s="30"/>
      <c r="E12" s="40">
        <f t="shared" si="0"/>
        <v>17842.531935152641</v>
      </c>
      <c r="F12" s="30">
        <f t="shared" si="0"/>
        <v>4446.6479502344337</v>
      </c>
      <c r="G12" s="30">
        <f t="shared" si="0"/>
        <v>4446.6479502344337</v>
      </c>
      <c r="H12" s="30"/>
      <c r="I12" s="30">
        <f t="shared" si="0"/>
        <v>4446.6479502344337</v>
      </c>
      <c r="J12" s="114">
        <f t="shared" si="0"/>
        <v>16480.087454539636</v>
      </c>
      <c r="K12" s="30">
        <f t="shared" si="0"/>
        <v>14539.490061935061</v>
      </c>
      <c r="L12" s="30"/>
      <c r="M12" s="40">
        <f t="shared" si="0"/>
        <v>16328.214615118408</v>
      </c>
    </row>
    <row r="13" spans="1:13" ht="13">
      <c r="A13" s="38"/>
      <c r="B13" s="114"/>
      <c r="C13" s="30"/>
      <c r="D13" s="30"/>
      <c r="E13" s="40"/>
      <c r="F13" s="30"/>
      <c r="G13" s="30"/>
      <c r="H13" s="30"/>
      <c r="I13" s="30"/>
      <c r="J13" s="114"/>
      <c r="K13" s="30"/>
      <c r="L13" s="30"/>
      <c r="M13" s="40"/>
    </row>
    <row r="14" spans="1:13" ht="13">
      <c r="A14" s="36" t="s">
        <v>61</v>
      </c>
      <c r="B14" s="114"/>
      <c r="C14" s="30"/>
      <c r="D14" s="30"/>
      <c r="E14" s="40"/>
      <c r="F14" s="30"/>
      <c r="G14" s="30"/>
      <c r="H14" s="30"/>
      <c r="I14" s="30"/>
      <c r="J14" s="114"/>
      <c r="K14" s="30"/>
      <c r="L14" s="30"/>
      <c r="M14" s="40"/>
    </row>
    <row r="15" spans="1:13" ht="13">
      <c r="A15" s="47">
        <f>Inputs!C3</f>
        <v>2.9094935671404847E-2</v>
      </c>
      <c r="B15" s="114"/>
      <c r="C15" s="30"/>
      <c r="D15" s="30"/>
      <c r="E15" s="40"/>
      <c r="F15" s="30"/>
      <c r="G15" s="30"/>
      <c r="H15" s="30"/>
      <c r="I15" s="30"/>
      <c r="J15" s="114"/>
      <c r="K15" s="30"/>
      <c r="L15" s="30"/>
      <c r="M15" s="40"/>
    </row>
    <row r="16" spans="1:13" ht="13">
      <c r="A16" s="36" t="s">
        <v>60</v>
      </c>
      <c r="B16" s="114"/>
      <c r="C16" s="30"/>
      <c r="D16" s="30"/>
      <c r="E16" s="40"/>
      <c r="F16" s="30"/>
      <c r="G16" s="30"/>
      <c r="H16" s="30"/>
      <c r="I16" s="30"/>
      <c r="J16" s="114"/>
      <c r="K16" s="30"/>
      <c r="L16" s="30"/>
      <c r="M16" s="40"/>
    </row>
    <row r="17" spans="1:13" ht="13">
      <c r="A17" s="47">
        <f>Inputs!C4</f>
        <v>1.99475E-2</v>
      </c>
      <c r="B17" s="114"/>
      <c r="C17" s="30"/>
      <c r="D17" s="30"/>
      <c r="E17" s="40"/>
      <c r="F17" s="30"/>
      <c r="G17" s="30"/>
      <c r="H17" s="30"/>
      <c r="I17" s="30"/>
      <c r="J17" s="114"/>
      <c r="K17" s="30"/>
      <c r="L17" s="30"/>
      <c r="M17" s="40"/>
    </row>
    <row r="18" spans="1:13" ht="13">
      <c r="A18" s="94" t="s">
        <v>92</v>
      </c>
      <c r="B18" s="114">
        <f t="shared" ref="B18:M20" si="1">(B8*(1+$A$15)*(1+$A$17))</f>
        <v>14629.982587127359</v>
      </c>
      <c r="C18" s="30">
        <f t="shared" si="1"/>
        <v>29180.361844057024</v>
      </c>
      <c r="D18" s="30"/>
      <c r="E18" s="30">
        <f t="shared" si="1"/>
        <v>15057.934918213525</v>
      </c>
      <c r="F18" s="114">
        <f t="shared" si="1"/>
        <v>0</v>
      </c>
      <c r="G18" s="30">
        <f t="shared" si="1"/>
        <v>0</v>
      </c>
      <c r="H18" s="30"/>
      <c r="I18" s="40">
        <f t="shared" si="1"/>
        <v>0</v>
      </c>
      <c r="J18" s="114">
        <f t="shared" si="1"/>
        <v>13663.851661562343</v>
      </c>
      <c r="K18" s="30">
        <f t="shared" si="1"/>
        <v>9726.7872813523409</v>
      </c>
      <c r="L18" s="30"/>
      <c r="M18" s="40">
        <f t="shared" si="1"/>
        <v>13355.733579632864</v>
      </c>
    </row>
    <row r="19" spans="1:13" ht="13">
      <c r="A19" s="94" t="s">
        <v>51</v>
      </c>
      <c r="B19" s="114">
        <f t="shared" si="1"/>
        <v>2706.2742418421899</v>
      </c>
      <c r="C19" s="30">
        <f t="shared" si="1"/>
        <v>6281.9752274221746</v>
      </c>
      <c r="D19" s="30"/>
      <c r="E19" s="30">
        <f t="shared" si="1"/>
        <v>2811.4419178886606</v>
      </c>
      <c r="F19" s="114">
        <f t="shared" si="1"/>
        <v>3564.9620396324963</v>
      </c>
      <c r="G19" s="30">
        <f t="shared" si="1"/>
        <v>3564.9620396324967</v>
      </c>
      <c r="H19" s="30"/>
      <c r="I19" s="40">
        <f t="shared" si="1"/>
        <v>3564.9620396324967</v>
      </c>
      <c r="J19" s="114">
        <f t="shared" si="1"/>
        <v>2762.980039809474</v>
      </c>
      <c r="K19" s="30">
        <f t="shared" si="1"/>
        <v>4470.633102229056</v>
      </c>
      <c r="L19" s="30"/>
      <c r="M19" s="40">
        <f t="shared" si="1"/>
        <v>2896.6224533901373</v>
      </c>
    </row>
    <row r="20" spans="1:13" ht="13">
      <c r="A20" s="94" t="s">
        <v>52</v>
      </c>
      <c r="B20" s="114">
        <f t="shared" si="1"/>
        <v>854.68960933909091</v>
      </c>
      <c r="C20" s="30">
        <f t="shared" si="1"/>
        <v>985.99783201186824</v>
      </c>
      <c r="D20" s="30"/>
      <c r="E20" s="30">
        <f t="shared" si="1"/>
        <v>858.55161588829014</v>
      </c>
      <c r="F20" s="114">
        <f t="shared" si="1"/>
        <v>1102.3410631918591</v>
      </c>
      <c r="G20" s="30">
        <f t="shared" si="1"/>
        <v>1102.3410631918591</v>
      </c>
      <c r="H20" s="30"/>
      <c r="I20" s="40">
        <f t="shared" si="1"/>
        <v>1102.3410631918593</v>
      </c>
      <c r="J20" s="114">
        <f t="shared" si="1"/>
        <v>871.04395063125492</v>
      </c>
      <c r="K20" s="30">
        <f t="shared" si="1"/>
        <v>1063.5599861318622</v>
      </c>
      <c r="L20" s="30"/>
      <c r="M20" s="40">
        <f t="shared" si="1"/>
        <v>886.1104229747807</v>
      </c>
    </row>
    <row r="21" spans="1:13" ht="13">
      <c r="A21" s="36"/>
      <c r="B21" s="119"/>
      <c r="C21" s="73"/>
      <c r="D21" s="73"/>
      <c r="E21" s="75"/>
      <c r="F21" s="73"/>
      <c r="G21" s="73"/>
      <c r="H21" s="73"/>
      <c r="I21" s="73"/>
      <c r="J21" s="119"/>
      <c r="K21" s="73"/>
      <c r="L21" s="73"/>
      <c r="M21" s="75"/>
    </row>
    <row r="22" spans="1:13" ht="13">
      <c r="A22" s="36" t="s">
        <v>35</v>
      </c>
      <c r="B22" s="119">
        <f t="shared" ref="B22:M22" si="2">B18+B19+B20</f>
        <v>18190.946438308638</v>
      </c>
      <c r="C22" s="73">
        <f t="shared" si="2"/>
        <v>36448.334903491064</v>
      </c>
      <c r="D22" s="73"/>
      <c r="E22" s="75">
        <f t="shared" si="2"/>
        <v>18727.928451990476</v>
      </c>
      <c r="F22" s="73">
        <f t="shared" si="2"/>
        <v>4667.3031028243549</v>
      </c>
      <c r="G22" s="73">
        <f t="shared" si="2"/>
        <v>4667.3031028243558</v>
      </c>
      <c r="H22" s="73"/>
      <c r="I22" s="73">
        <f t="shared" si="2"/>
        <v>4667.3031028243558</v>
      </c>
      <c r="J22" s="119">
        <f t="shared" si="2"/>
        <v>17297.875652003073</v>
      </c>
      <c r="K22" s="73">
        <f t="shared" si="2"/>
        <v>15260.980369713259</v>
      </c>
      <c r="L22" s="73"/>
      <c r="M22" s="75">
        <f t="shared" si="2"/>
        <v>17138.466455997783</v>
      </c>
    </row>
    <row r="23" spans="1:13" ht="13">
      <c r="A23" s="36"/>
      <c r="B23" s="114"/>
      <c r="C23" s="30"/>
      <c r="D23" s="30"/>
      <c r="E23" s="40"/>
      <c r="F23" s="30"/>
      <c r="G23" s="30"/>
      <c r="H23" s="30"/>
      <c r="I23" s="30"/>
      <c r="J23" s="114"/>
      <c r="K23" s="30"/>
      <c r="L23" s="30"/>
      <c r="M23" s="40"/>
    </row>
    <row r="24" spans="1:13" ht="13">
      <c r="A24" s="94" t="str">
        <f>'Resid TSM Sum by Rate Schedule'!A25</f>
        <v>Annualized Transformer Cost at 8.05%</v>
      </c>
      <c r="B24" s="119">
        <f>B18*Inputs!$C$5</f>
        <v>1177.4014315008374</v>
      </c>
      <c r="C24" s="73">
        <f>C18*Inputs!$C$5</f>
        <v>2348.3964934541495</v>
      </c>
      <c r="D24" s="73"/>
      <c r="E24" s="75">
        <f>E18*Inputs!$C$5</f>
        <v>1211.8424627347583</v>
      </c>
      <c r="F24" s="73">
        <f>F18*Inputs!$C$5</f>
        <v>0</v>
      </c>
      <c r="G24" s="73">
        <f>G18*Inputs!$C$5</f>
        <v>0</v>
      </c>
      <c r="H24" s="73"/>
      <c r="I24" s="73">
        <f>I18*Inputs!$C$5</f>
        <v>0</v>
      </c>
      <c r="J24" s="119">
        <f>J18*Inputs!$C$5</f>
        <v>1099.6485067790838</v>
      </c>
      <c r="K24" s="73">
        <f>K18*Inputs!$C$5</f>
        <v>782.79883115138318</v>
      </c>
      <c r="L24" s="73"/>
      <c r="M24" s="75">
        <f>M18*Inputs!$C$5</f>
        <v>1074.8515756430029</v>
      </c>
    </row>
    <row r="25" spans="1:13" ht="13">
      <c r="A25" s="94" t="str">
        <f>'Resid TSM Sum by Rate Schedule'!A26</f>
        <v>Annualized Services Cost at 7.08%</v>
      </c>
      <c r="B25" s="119">
        <f>B19*Inputs!$C$6</f>
        <v>191.53672168515351</v>
      </c>
      <c r="C25" s="73">
        <f>C19*Inputs!$C$6</f>
        <v>444.60717327329667</v>
      </c>
      <c r="D25" s="73"/>
      <c r="E25" s="75">
        <f>E19*Inputs!$C$6</f>
        <v>198.97997026127541</v>
      </c>
      <c r="F25" s="73">
        <f>F19*Inputs!$C$6</f>
        <v>252.3104020449986</v>
      </c>
      <c r="G25" s="73">
        <f>G19*Inputs!$C$6</f>
        <v>252.31040204499863</v>
      </c>
      <c r="H25" s="73"/>
      <c r="I25" s="73">
        <f>I19*Inputs!$C$6</f>
        <v>252.31040204499863</v>
      </c>
      <c r="J25" s="119">
        <f>J19*Inputs!$C$6</f>
        <v>195.55007793533196</v>
      </c>
      <c r="K25" s="73">
        <f>K19*Inputs!$C$6</f>
        <v>316.40932578776466</v>
      </c>
      <c r="L25" s="73"/>
      <c r="M25" s="75">
        <f>M19*Inputs!$C$6</f>
        <v>205.00862776726149</v>
      </c>
    </row>
    <row r="26" spans="1:13" ht="16">
      <c r="A26" s="94" t="str">
        <f>'Resid TSM Sum by Rate Schedule'!A27</f>
        <v>Annualized Meter Cost at 10.78%</v>
      </c>
      <c r="B26" s="459">
        <f>B20*Inputs!$C$7</f>
        <v>92.106864491812559</v>
      </c>
      <c r="C26" s="458">
        <f>C20*Inputs!$C$7</f>
        <v>106.25748541925606</v>
      </c>
      <c r="D26" s="458"/>
      <c r="E26" s="457">
        <f>E20*Inputs!$C$7</f>
        <v>92.523059224972641</v>
      </c>
      <c r="F26" s="458">
        <f>F20*Inputs!$C$7</f>
        <v>118.79538234902152</v>
      </c>
      <c r="G26" s="458">
        <f>G20*Inputs!$C$7</f>
        <v>118.79538234902152</v>
      </c>
      <c r="H26" s="458"/>
      <c r="I26" s="458">
        <f>I20*Inputs!$C$7</f>
        <v>118.79538234902155</v>
      </c>
      <c r="J26" s="459">
        <f>J20*Inputs!$C$7</f>
        <v>93.869313784269764</v>
      </c>
      <c r="K26" s="458">
        <f>K20*Inputs!$C$7</f>
        <v>114.61608337243304</v>
      </c>
      <c r="L26" s="458"/>
      <c r="M26" s="457">
        <f>M20*Inputs!$C$7</f>
        <v>95.492974012908618</v>
      </c>
    </row>
    <row r="27" spans="1:13" ht="13">
      <c r="A27" s="86" t="s">
        <v>275</v>
      </c>
      <c r="B27" s="119">
        <f>SUM(B24:B26)</f>
        <v>1461.0450176778033</v>
      </c>
      <c r="C27" s="73">
        <f t="shared" ref="C27:M27" si="3">SUM(C24:C26)</f>
        <v>2899.2611521467024</v>
      </c>
      <c r="D27" s="73"/>
      <c r="E27" s="75">
        <f t="shared" si="3"/>
        <v>1503.3454922210065</v>
      </c>
      <c r="F27" s="73">
        <f t="shared" si="3"/>
        <v>371.10578439402013</v>
      </c>
      <c r="G27" s="73">
        <f t="shared" si="3"/>
        <v>371.10578439402013</v>
      </c>
      <c r="H27" s="73"/>
      <c r="I27" s="73">
        <f t="shared" si="3"/>
        <v>371.10578439402019</v>
      </c>
      <c r="J27" s="119">
        <f t="shared" si="3"/>
        <v>1389.0678984986855</v>
      </c>
      <c r="K27" s="73">
        <f t="shared" si="3"/>
        <v>1213.8242403115808</v>
      </c>
      <c r="L27" s="73"/>
      <c r="M27" s="75">
        <f t="shared" si="3"/>
        <v>1375.3531774231731</v>
      </c>
    </row>
    <row r="28" spans="1:13" ht="13">
      <c r="A28" s="47"/>
      <c r="B28" s="114"/>
      <c r="C28" s="30"/>
      <c r="D28" s="30"/>
      <c r="E28" s="40"/>
      <c r="F28" s="30"/>
      <c r="G28" s="30"/>
      <c r="H28" s="30"/>
      <c r="I28" s="30"/>
      <c r="J28" s="114"/>
      <c r="K28" s="30"/>
      <c r="L28" s="30"/>
      <c r="M28" s="40"/>
    </row>
    <row r="29" spans="1:13" ht="13">
      <c r="A29" s="36" t="s">
        <v>50</v>
      </c>
      <c r="B29" s="114">
        <f>'Sch DG-R TSM Summary'!B$29*Inputs!$C$13</f>
        <v>188.13398979940817</v>
      </c>
      <c r="C29" s="30">
        <f>'Sch DG-R TSM Summary'!C$29*Inputs!$C$13</f>
        <v>188.13398979940817</v>
      </c>
      <c r="D29" s="30"/>
      <c r="E29" s="40">
        <f>'Sch DG-R TSM Summary'!E$29*Inputs!$C$13</f>
        <v>188.13398979940817</v>
      </c>
      <c r="F29" s="30">
        <f>'Sch DG-R TSM Summary'!F$29*Inputs!$C$13</f>
        <v>46.886037427389788</v>
      </c>
      <c r="G29" s="30">
        <f>'Sch DG-R TSM Summary'!G$29*Inputs!$C$13</f>
        <v>46.886037427389788</v>
      </c>
      <c r="H29" s="30"/>
      <c r="I29" s="30">
        <f>'Sch DG-R TSM Summary'!I$29*Inputs!$C$13</f>
        <v>46.886037427389788</v>
      </c>
      <c r="J29" s="114">
        <f>'Sch DG-R TSM Summary'!J$29*Inputs!$C$13</f>
        <v>172.16682996604956</v>
      </c>
      <c r="K29" s="30">
        <f>'Sch DG-R TSM Summary'!K$29*Inputs!$C$13</f>
        <v>172.16682996604956</v>
      </c>
      <c r="L29" s="30"/>
      <c r="M29" s="40">
        <f>'Sch DG-R TSM Summary'!M$29*Inputs!$C$13</f>
        <v>172.16682996604956</v>
      </c>
    </row>
    <row r="30" spans="1:13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5"/>
      <c r="E30" s="547">
        <f>-Inputs!$C$18</f>
        <v>-3.0284021924274875</v>
      </c>
      <c r="F30" s="545">
        <f>-Inputs!$C$18</f>
        <v>-3.0284021924274875</v>
      </c>
      <c r="G30" s="545">
        <f>-Inputs!$C$18</f>
        <v>-3.0284021924274875</v>
      </c>
      <c r="H30" s="545"/>
      <c r="I30" s="545">
        <f>-Inputs!$C$18</f>
        <v>-3.0284021924274875</v>
      </c>
      <c r="J30" s="546">
        <f>-Inputs!$C$18</f>
        <v>-3.0284021924274875</v>
      </c>
      <c r="K30" s="545">
        <f>-Inputs!$C$18</f>
        <v>-3.0284021924274875</v>
      </c>
      <c r="L30" s="545"/>
      <c r="M30" s="547">
        <f>-Inputs!$C$18</f>
        <v>-3.0284021924274875</v>
      </c>
    </row>
    <row r="31" spans="1:13" ht="13">
      <c r="A31" s="36" t="s">
        <v>328</v>
      </c>
      <c r="B31" s="114">
        <f>B29+B30</f>
        <v>185.10558760698069</v>
      </c>
      <c r="C31" s="30">
        <f>C29+C30</f>
        <v>185.10558760698069</v>
      </c>
      <c r="D31" s="30"/>
      <c r="E31" s="40">
        <f>E29+E30</f>
        <v>185.10558760698069</v>
      </c>
      <c r="F31" s="30">
        <f>F29+F30</f>
        <v>43.857635234962302</v>
      </c>
      <c r="G31" s="30">
        <f>G29+G30</f>
        <v>43.857635234962302</v>
      </c>
      <c r="H31" s="30"/>
      <c r="I31" s="30">
        <f>I29+I30</f>
        <v>43.857635234962302</v>
      </c>
      <c r="J31" s="114">
        <f>J29+J30</f>
        <v>169.13842777362208</v>
      </c>
      <c r="K31" s="30">
        <f>K29+K30</f>
        <v>169.13842777362208</v>
      </c>
      <c r="L31" s="30"/>
      <c r="M31" s="40">
        <f>M29+M30</f>
        <v>169.13842777362208</v>
      </c>
    </row>
    <row r="32" spans="1:13" ht="13">
      <c r="A32" s="11"/>
      <c r="B32" s="114"/>
      <c r="C32" s="30"/>
      <c r="D32" s="30"/>
      <c r="E32" s="40"/>
      <c r="F32" s="30"/>
      <c r="G32" s="30"/>
      <c r="H32" s="30"/>
      <c r="I32" s="30"/>
      <c r="J32" s="114"/>
      <c r="K32" s="30"/>
      <c r="L32" s="30"/>
      <c r="M32" s="40"/>
    </row>
    <row r="33" spans="1:13" ht="13">
      <c r="A33" s="36" t="s">
        <v>57</v>
      </c>
      <c r="B33" s="114">
        <f>'Sch DG-R TSM Summary'!B31*Inputs!$C$14</f>
        <v>481.55031066335573</v>
      </c>
      <c r="C33" s="30">
        <f>'Sch DG-R TSM Summary'!C31*Inputs!$C$14</f>
        <v>481.55031066335573</v>
      </c>
      <c r="D33" s="30"/>
      <c r="E33" s="40">
        <f>'Sch DG-R TSM Summary'!E31*Inputs!$C$14</f>
        <v>481.55031066335573</v>
      </c>
      <c r="F33" s="30">
        <f>'Sch DG-R TSM Summary'!F31*Inputs!$C$14</f>
        <v>481.55031066335573</v>
      </c>
      <c r="G33" s="30">
        <f>'Sch DG-R TSM Summary'!G31*Inputs!$C$14</f>
        <v>481.55031066335573</v>
      </c>
      <c r="H33" s="30"/>
      <c r="I33" s="30">
        <f>'Sch DG-R TSM Summary'!I31*Inputs!$C$14</f>
        <v>481.55031066335573</v>
      </c>
      <c r="J33" s="114">
        <f>'Sch DG-R TSM Summary'!J31*Inputs!$C$14</f>
        <v>481.55031066335573</v>
      </c>
      <c r="K33" s="30">
        <f>'Sch DG-R TSM Summary'!K31*Inputs!$C$14</f>
        <v>481.55031066335573</v>
      </c>
      <c r="L33" s="30"/>
      <c r="M33" s="40">
        <f>'Sch DG-R TSM Summary'!M31*Inputs!$C$14</f>
        <v>481.55031066335573</v>
      </c>
    </row>
    <row r="34" spans="1:13" ht="13.5" thickBot="1">
      <c r="A34" s="15"/>
      <c r="B34" s="116"/>
      <c r="C34" s="87"/>
      <c r="D34" s="87"/>
      <c r="E34" s="88"/>
      <c r="F34" s="87"/>
      <c r="G34" s="87"/>
      <c r="H34" s="87"/>
      <c r="I34" s="87"/>
      <c r="J34" s="116"/>
      <c r="K34" s="87"/>
      <c r="L34" s="87"/>
      <c r="M34" s="88"/>
    </row>
    <row r="35" spans="1:13" ht="13.5" thickBot="1">
      <c r="A35" s="278" t="s">
        <v>126</v>
      </c>
      <c r="B35" s="279">
        <f t="shared" ref="B35:M35" si="4">B27+B31+B33</f>
        <v>2127.7009159481395</v>
      </c>
      <c r="C35" s="280">
        <f t="shared" si="4"/>
        <v>3565.9170504170388</v>
      </c>
      <c r="D35" s="280"/>
      <c r="E35" s="291">
        <f t="shared" si="4"/>
        <v>2170.001390491343</v>
      </c>
      <c r="F35" s="280">
        <f t="shared" si="4"/>
        <v>896.5137302923381</v>
      </c>
      <c r="G35" s="280">
        <f t="shared" si="4"/>
        <v>896.5137302923381</v>
      </c>
      <c r="H35" s="280"/>
      <c r="I35" s="280">
        <f t="shared" si="4"/>
        <v>896.51373029233821</v>
      </c>
      <c r="J35" s="279">
        <f t="shared" si="4"/>
        <v>2039.7566369356634</v>
      </c>
      <c r="K35" s="280">
        <f t="shared" si="4"/>
        <v>1864.5129787485587</v>
      </c>
      <c r="L35" s="280"/>
      <c r="M35" s="291">
        <f t="shared" si="4"/>
        <v>2026.041915860151</v>
      </c>
    </row>
    <row r="36" spans="1:13">
      <c r="B36" s="13"/>
      <c r="C36" s="13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1">
    <tabColor rgb="FFFFC000"/>
    <pageSetUpPr fitToPage="1"/>
  </sheetPr>
  <dimension ref="A1:FV73"/>
  <sheetViews>
    <sheetView zoomScaleNormal="100" workbookViewId="0">
      <pane ySplit="3" topLeftCell="A4" activePane="bottomLeft" state="frozen"/>
      <selection activeCell="D15" sqref="D15"/>
      <selection pane="bottomLeft" activeCell="B24" sqref="B24"/>
    </sheetView>
  </sheetViews>
  <sheetFormatPr defaultRowHeight="12.5"/>
  <cols>
    <col min="1" max="1" width="50.7265625" customWidth="1"/>
    <col min="2" max="2" width="27.54296875" customWidth="1"/>
    <col min="3" max="4" width="27.7265625" customWidth="1"/>
    <col min="5" max="6" width="11.54296875" style="52" customWidth="1"/>
    <col min="7" max="178" width="9.1796875" style="52"/>
  </cols>
  <sheetData>
    <row r="1" spans="1:4" ht="18.5" thickBot="1">
      <c r="A1" s="750" t="s">
        <v>143</v>
      </c>
      <c r="B1" s="750"/>
      <c r="C1" s="750"/>
      <c r="D1" s="750"/>
    </row>
    <row r="2" spans="1:4" ht="13">
      <c r="A2" s="395"/>
      <c r="B2" s="103"/>
      <c r="C2" s="395"/>
      <c r="D2" s="103" t="s">
        <v>55</v>
      </c>
    </row>
    <row r="3" spans="1:4" ht="13.5" thickBot="1">
      <c r="A3" s="396" t="s">
        <v>4</v>
      </c>
      <c r="B3" s="77" t="s">
        <v>1</v>
      </c>
      <c r="C3" s="396" t="s">
        <v>84</v>
      </c>
      <c r="D3" s="77" t="s">
        <v>2</v>
      </c>
    </row>
    <row r="4" spans="1:4" ht="13">
      <c r="A4" s="5"/>
      <c r="B4" s="5" t="s">
        <v>45</v>
      </c>
      <c r="C4" s="5" t="s">
        <v>45</v>
      </c>
      <c r="D4" s="105" t="s">
        <v>45</v>
      </c>
    </row>
    <row r="5" spans="1:4" ht="13">
      <c r="A5" s="10"/>
      <c r="B5" s="84"/>
      <c r="C5" s="104"/>
      <c r="D5" s="106"/>
    </row>
    <row r="6" spans="1:4" ht="13">
      <c r="A6" s="21" t="s">
        <v>5</v>
      </c>
      <c r="B6" s="439"/>
      <c r="C6" s="440"/>
      <c r="D6" s="149"/>
    </row>
    <row r="7" spans="1:4" ht="13">
      <c r="A7" s="20" t="s">
        <v>6</v>
      </c>
      <c r="B7" s="439"/>
      <c r="C7" s="440"/>
      <c r="D7" s="149"/>
    </row>
    <row r="8" spans="1:4" ht="13">
      <c r="A8" s="21" t="s">
        <v>7</v>
      </c>
      <c r="B8" s="439"/>
      <c r="C8" s="440"/>
      <c r="D8" s="149"/>
    </row>
    <row r="9" spans="1:4" ht="13">
      <c r="A9" s="21" t="s">
        <v>105</v>
      </c>
      <c r="B9" s="439"/>
      <c r="C9" s="440"/>
      <c r="D9" s="149"/>
    </row>
    <row r="10" spans="1:4" ht="13">
      <c r="A10" s="21" t="s">
        <v>97</v>
      </c>
      <c r="B10" s="439"/>
      <c r="C10" s="440"/>
      <c r="D10" s="149"/>
    </row>
    <row r="11" spans="1:4" ht="13">
      <c r="A11" s="21" t="s">
        <v>8</v>
      </c>
      <c r="B11" s="439"/>
      <c r="C11" s="440"/>
      <c r="D11" s="149"/>
    </row>
    <row r="12" spans="1:4" ht="13">
      <c r="A12" s="21" t="s">
        <v>9</v>
      </c>
      <c r="B12" s="439"/>
      <c r="C12" s="440"/>
      <c r="D12" s="149"/>
    </row>
    <row r="13" spans="1:4" ht="13">
      <c r="A13" s="21" t="s">
        <v>10</v>
      </c>
      <c r="B13" s="439"/>
      <c r="C13" s="440"/>
      <c r="D13" s="149"/>
    </row>
    <row r="14" spans="1:4" ht="13">
      <c r="A14" s="21" t="s">
        <v>11</v>
      </c>
      <c r="B14" s="439"/>
      <c r="C14" s="440"/>
      <c r="D14" s="149"/>
    </row>
    <row r="15" spans="1:4" ht="13">
      <c r="A15" s="21" t="s">
        <v>101</v>
      </c>
      <c r="B15" s="439"/>
      <c r="C15" s="440"/>
      <c r="D15" s="149"/>
    </row>
    <row r="16" spans="1:4" ht="13">
      <c r="A16" s="21" t="s">
        <v>102</v>
      </c>
      <c r="B16" s="439"/>
      <c r="C16" s="440"/>
      <c r="D16" s="149"/>
    </row>
    <row r="17" spans="1:178" ht="13">
      <c r="A17" s="21" t="s">
        <v>12</v>
      </c>
      <c r="B17" s="439"/>
      <c r="C17" s="440"/>
      <c r="D17" s="149"/>
    </row>
    <row r="18" spans="1:178" ht="13">
      <c r="A18" s="21" t="s">
        <v>13</v>
      </c>
      <c r="B18" s="439"/>
      <c r="C18" s="440"/>
      <c r="D18" s="149"/>
    </row>
    <row r="19" spans="1:178" s="151" customFormat="1" ht="13">
      <c r="A19" s="21" t="s">
        <v>103</v>
      </c>
      <c r="B19" s="439"/>
      <c r="C19" s="440"/>
      <c r="D19" s="149"/>
      <c r="E19" s="179"/>
      <c r="F19" s="179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</row>
    <row r="20" spans="1:178" s="151" customFormat="1" ht="13">
      <c r="A20" s="21" t="s">
        <v>104</v>
      </c>
      <c r="B20" s="439"/>
      <c r="C20" s="440"/>
      <c r="D20" s="149"/>
      <c r="E20" s="179"/>
      <c r="F20" s="179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</row>
    <row r="21" spans="1:178" ht="13">
      <c r="A21" s="21" t="s">
        <v>14</v>
      </c>
      <c r="B21" s="439"/>
      <c r="C21" s="440"/>
      <c r="D21" s="149"/>
    </row>
    <row r="22" spans="1:178" ht="13">
      <c r="A22" s="21" t="s">
        <v>15</v>
      </c>
      <c r="B22" s="485"/>
      <c r="C22" s="485"/>
      <c r="D22" s="149"/>
    </row>
    <row r="23" spans="1:178" ht="13">
      <c r="A23" s="21" t="s">
        <v>16</v>
      </c>
      <c r="B23" s="485"/>
      <c r="C23" s="485"/>
      <c r="D23" s="149"/>
    </row>
    <row r="24" spans="1:178" ht="13">
      <c r="A24" s="21" t="s">
        <v>17</v>
      </c>
      <c r="B24" s="485">
        <v>1</v>
      </c>
      <c r="C24" s="485"/>
      <c r="D24" s="149">
        <f t="shared" ref="D24" si="0">B24+C24</f>
        <v>1</v>
      </c>
    </row>
    <row r="25" spans="1:178" ht="13">
      <c r="A25" s="21" t="s">
        <v>18</v>
      </c>
      <c r="B25" s="485"/>
      <c r="C25" s="485"/>
      <c r="D25" s="149"/>
    </row>
    <row r="26" spans="1:178" ht="13">
      <c r="A26" s="21" t="s">
        <v>19</v>
      </c>
      <c r="B26" s="485"/>
      <c r="C26" s="485"/>
      <c r="D26" s="149"/>
      <c r="E26" s="89"/>
      <c r="F26" s="89"/>
      <c r="G26" s="89"/>
    </row>
    <row r="27" spans="1:178" ht="13">
      <c r="A27" s="21" t="s">
        <v>20</v>
      </c>
      <c r="B27" s="485"/>
      <c r="C27" s="485"/>
      <c r="D27" s="149"/>
      <c r="E27" s="89"/>
      <c r="F27" s="89"/>
      <c r="G27" s="89"/>
    </row>
    <row r="28" spans="1:178" ht="13">
      <c r="A28" s="21" t="s">
        <v>21</v>
      </c>
      <c r="B28" s="485"/>
      <c r="C28" s="485"/>
      <c r="D28" s="149"/>
      <c r="E28" s="89"/>
      <c r="F28" s="89"/>
      <c r="G28" s="89"/>
    </row>
    <row r="29" spans="1:178" ht="13">
      <c r="A29" s="21" t="s">
        <v>22</v>
      </c>
      <c r="B29" s="485"/>
      <c r="C29" s="485"/>
      <c r="D29" s="149"/>
      <c r="E29" s="89"/>
      <c r="F29" s="90"/>
      <c r="G29" s="89"/>
    </row>
    <row r="30" spans="1:178" ht="13">
      <c r="A30" s="21" t="s">
        <v>23</v>
      </c>
      <c r="B30" s="485"/>
      <c r="C30" s="485"/>
      <c r="D30" s="149"/>
      <c r="E30" s="89"/>
      <c r="F30" s="89"/>
      <c r="G30" s="89"/>
    </row>
    <row r="31" spans="1:178" ht="13">
      <c r="A31" s="21" t="s">
        <v>24</v>
      </c>
      <c r="B31" s="485"/>
      <c r="C31" s="485"/>
      <c r="D31" s="149"/>
      <c r="E31" s="89"/>
      <c r="F31" s="89"/>
      <c r="G31" s="89"/>
    </row>
    <row r="32" spans="1:178" ht="13">
      <c r="A32" s="21" t="s">
        <v>25</v>
      </c>
      <c r="B32" s="485"/>
      <c r="C32" s="485"/>
      <c r="D32" s="149"/>
      <c r="E32" s="89"/>
      <c r="F32" s="89"/>
      <c r="G32" s="89"/>
    </row>
    <row r="33" spans="1:178" ht="13">
      <c r="A33" s="21" t="s">
        <v>106</v>
      </c>
      <c r="B33" s="485"/>
      <c r="C33" s="485"/>
      <c r="D33" s="149"/>
      <c r="E33" s="89"/>
      <c r="F33" s="89"/>
      <c r="G33" s="89"/>
    </row>
    <row r="34" spans="1:178" s="151" customFormat="1" ht="13">
      <c r="A34" s="104" t="s">
        <v>107</v>
      </c>
      <c r="B34" s="485"/>
      <c r="C34" s="485"/>
      <c r="D34" s="149"/>
      <c r="E34" s="180"/>
      <c r="F34" s="180"/>
      <c r="G34" s="89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2"/>
      <c r="FB34" s="52"/>
      <c r="FC34" s="52"/>
      <c r="FD34" s="52"/>
      <c r="FE34" s="52"/>
      <c r="FF34" s="52"/>
      <c r="FG34" s="52"/>
      <c r="FH34" s="52"/>
      <c r="FI34" s="52"/>
      <c r="FJ34" s="52"/>
      <c r="FK34" s="52"/>
      <c r="FL34" s="52"/>
      <c r="FM34" s="52"/>
      <c r="FN34" s="52"/>
      <c r="FO34" s="52"/>
      <c r="FP34" s="52"/>
      <c r="FQ34" s="52"/>
      <c r="FR34" s="52"/>
      <c r="FS34" s="52"/>
      <c r="FT34" s="52"/>
      <c r="FU34" s="52"/>
      <c r="FV34" s="52"/>
    </row>
    <row r="35" spans="1:178" ht="13">
      <c r="A35" s="104" t="s">
        <v>26</v>
      </c>
      <c r="B35" s="485"/>
      <c r="C35" s="485"/>
      <c r="D35" s="149"/>
      <c r="E35" s="89"/>
      <c r="F35" s="89"/>
      <c r="G35" s="89"/>
    </row>
    <row r="36" spans="1:178" ht="13">
      <c r="A36" s="104" t="s">
        <v>27</v>
      </c>
      <c r="B36" s="485"/>
      <c r="C36" s="485"/>
      <c r="D36" s="149"/>
      <c r="E36" s="180"/>
      <c r="F36" s="180"/>
      <c r="G36" s="89"/>
    </row>
    <row r="37" spans="1:178" ht="13.5" thickBot="1">
      <c r="A37" s="104"/>
      <c r="B37" s="441"/>
      <c r="C37" s="442"/>
      <c r="D37" s="211"/>
      <c r="E37" s="89"/>
      <c r="F37" s="89"/>
      <c r="G37" s="89"/>
    </row>
    <row r="38" spans="1:178" ht="13.5" thickBot="1">
      <c r="A38" s="208" t="s">
        <v>2</v>
      </c>
      <c r="B38" s="380">
        <f>SUM(B4:B37)</f>
        <v>1</v>
      </c>
      <c r="C38" s="381"/>
      <c r="D38" s="380">
        <f>SUM(D4:D37)</f>
        <v>1</v>
      </c>
      <c r="E38" s="89"/>
      <c r="F38" s="89"/>
      <c r="G38" s="89"/>
    </row>
    <row r="39" spans="1:178" ht="13">
      <c r="A39" s="124" t="s">
        <v>141</v>
      </c>
      <c r="B39" s="359">
        <f>SUM(B6:B19)</f>
        <v>0</v>
      </c>
      <c r="C39" s="359"/>
      <c r="D39" s="359">
        <f>SUM(D6:D19)</f>
        <v>0</v>
      </c>
      <c r="E39" s="89"/>
      <c r="F39" s="89"/>
      <c r="G39" s="89"/>
    </row>
    <row r="40" spans="1:178" ht="13">
      <c r="A40" s="124" t="s">
        <v>119</v>
      </c>
      <c r="B40" s="359">
        <f>SUM(B20:B33)</f>
        <v>1</v>
      </c>
      <c r="C40" s="359"/>
      <c r="D40" s="359">
        <f>SUM(D20:D33)</f>
        <v>1</v>
      </c>
      <c r="E40" s="89"/>
      <c r="F40" s="89"/>
      <c r="G40" s="89"/>
    </row>
    <row r="41" spans="1:178" ht="13.5" thickBot="1">
      <c r="A41" s="176" t="s">
        <v>85</v>
      </c>
      <c r="B41" s="360">
        <f>SUM(B34:B36)</f>
        <v>0</v>
      </c>
      <c r="C41" s="360"/>
      <c r="D41" s="361">
        <f>SUM(D34:D36)</f>
        <v>0</v>
      </c>
      <c r="E41" s="89"/>
      <c r="F41" s="89"/>
      <c r="G41" s="89"/>
    </row>
    <row r="42" spans="1:178" ht="13">
      <c r="A42" s="5"/>
      <c r="B42" s="6"/>
      <c r="C42" s="428"/>
      <c r="D42" s="429"/>
      <c r="E42" s="89"/>
      <c r="F42" s="89"/>
      <c r="G42" s="89"/>
    </row>
    <row r="43" spans="1:178" ht="13">
      <c r="A43" s="29" t="s">
        <v>271</v>
      </c>
      <c r="B43" s="12"/>
      <c r="C43" s="152"/>
      <c r="D43" s="430"/>
      <c r="E43" s="89"/>
      <c r="F43" s="89"/>
      <c r="G43" s="89"/>
    </row>
    <row r="44" spans="1:178" ht="13">
      <c r="A44" s="29"/>
      <c r="B44" s="415" t="s">
        <v>349</v>
      </c>
      <c r="C44" s="152"/>
      <c r="D44" s="430"/>
      <c r="E44" s="89"/>
      <c r="F44" s="89"/>
      <c r="G44" s="89"/>
    </row>
    <row r="45" spans="1:178" ht="13.5" thickBot="1">
      <c r="A45" s="72"/>
      <c r="B45" s="432" t="s">
        <v>270</v>
      </c>
      <c r="C45" s="170"/>
      <c r="D45" s="326"/>
      <c r="E45" s="89"/>
      <c r="F45" s="89"/>
      <c r="G45" s="89"/>
    </row>
    <row r="46" spans="1:178" ht="13">
      <c r="A46" s="8"/>
      <c r="B46" s="8"/>
      <c r="C46" s="152"/>
      <c r="D46" s="152"/>
      <c r="E46" s="89"/>
      <c r="F46" s="89"/>
      <c r="G46" s="89"/>
    </row>
    <row r="47" spans="1:178" ht="13">
      <c r="A47" s="261" t="s">
        <v>86</v>
      </c>
      <c r="B47" s="18">
        <f>SUM(B39:B41)-B38</f>
        <v>0</v>
      </c>
      <c r="C47" s="18">
        <f>SUM(C39:C41)-C38</f>
        <v>0</v>
      </c>
      <c r="D47" s="18">
        <f>SUM(D39:D41)-D38</f>
        <v>0</v>
      </c>
      <c r="E47" s="89"/>
      <c r="F47" s="89"/>
      <c r="G47" s="89"/>
    </row>
    <row r="48" spans="1:178" ht="13">
      <c r="A48" s="120"/>
      <c r="B48" s="120"/>
      <c r="C48" s="90"/>
      <c r="D48" s="13"/>
      <c r="E48" s="89"/>
      <c r="F48" s="89"/>
      <c r="G48" s="89"/>
    </row>
    <row r="49" spans="1:7" ht="13">
      <c r="A49" s="120"/>
      <c r="B49" s="120"/>
      <c r="C49" s="152"/>
      <c r="D49" s="152"/>
      <c r="E49" s="89"/>
      <c r="F49" s="90"/>
      <c r="G49" s="89"/>
    </row>
    <row r="50" spans="1:7" ht="13">
      <c r="A50" s="120"/>
      <c r="B50" s="120"/>
      <c r="C50" s="13"/>
      <c r="D50" s="13"/>
      <c r="E50" s="89"/>
      <c r="F50" s="89"/>
      <c r="G50" s="89"/>
    </row>
    <row r="51" spans="1:7" ht="13">
      <c r="A51" s="120"/>
      <c r="B51" s="120"/>
      <c r="C51" s="181"/>
      <c r="D51" s="13"/>
      <c r="E51" s="89"/>
      <c r="F51" s="89"/>
      <c r="G51" s="89"/>
    </row>
    <row r="52" spans="1:7" ht="13">
      <c r="A52" s="120"/>
      <c r="B52" s="120"/>
      <c r="C52" s="12"/>
      <c r="D52" s="12"/>
      <c r="E52" s="89"/>
      <c r="F52" s="89"/>
      <c r="G52" s="89"/>
    </row>
    <row r="53" spans="1:7" ht="13">
      <c r="A53" s="21"/>
      <c r="B53" s="120"/>
    </row>
    <row r="54" spans="1:7" ht="13">
      <c r="A54" s="21"/>
      <c r="B54" s="120"/>
    </row>
    <row r="55" spans="1:7" ht="13">
      <c r="A55" s="21"/>
      <c r="B55" s="120"/>
    </row>
    <row r="56" spans="1:7" ht="13">
      <c r="A56" s="21"/>
      <c r="B56" s="120"/>
    </row>
    <row r="57" spans="1:7" ht="13">
      <c r="A57" s="21"/>
      <c r="B57" s="120"/>
    </row>
    <row r="58" spans="1:7" ht="13">
      <c r="A58" s="21"/>
      <c r="B58" s="120"/>
    </row>
    <row r="59" spans="1:7" ht="13">
      <c r="A59" s="21"/>
      <c r="B59" s="120"/>
    </row>
    <row r="60" spans="1:7" ht="13">
      <c r="A60" s="21"/>
      <c r="B60" s="120"/>
    </row>
    <row r="61" spans="1:7">
      <c r="A61" s="19"/>
      <c r="B61" s="19"/>
    </row>
    <row r="73" spans="1:2">
      <c r="A73" s="19"/>
      <c r="B73" s="19"/>
    </row>
  </sheetData>
  <mergeCells count="1">
    <mergeCell ref="A1:D1"/>
  </mergeCells>
  <phoneticPr fontId="0" type="noConversion"/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2">
    <tabColor rgb="FFFFC000"/>
    <pageSetUpPr fitToPage="1"/>
  </sheetPr>
  <dimension ref="A1:N62"/>
  <sheetViews>
    <sheetView zoomScaleNormal="100" workbookViewId="0">
      <pane ySplit="4" topLeftCell="A17" activePane="bottomLeft" state="frozen"/>
      <selection activeCell="D15" sqref="D15"/>
      <selection pane="bottomLeft" activeCell="D15" sqref="D15"/>
    </sheetView>
  </sheetViews>
  <sheetFormatPr defaultRowHeight="12.5"/>
  <cols>
    <col min="1" max="1" width="29.26953125" customWidth="1"/>
    <col min="2" max="2" width="12.81640625" bestFit="1" customWidth="1"/>
    <col min="3" max="5" width="11.1796875" customWidth="1"/>
    <col min="6" max="6" width="12.81640625" bestFit="1" customWidth="1"/>
    <col min="7" max="9" width="11.1796875" customWidth="1"/>
    <col min="10" max="10" width="12.81640625" bestFit="1" customWidth="1"/>
    <col min="11" max="13" width="10.26953125" customWidth="1"/>
    <col min="14" max="14" width="10.26953125" bestFit="1" customWidth="1"/>
  </cols>
  <sheetData>
    <row r="1" spans="1:13" ht="18.5" thickBot="1">
      <c r="A1" s="750" t="s">
        <v>142</v>
      </c>
      <c r="B1" s="750"/>
      <c r="C1" s="750"/>
      <c r="D1" s="750"/>
      <c r="E1" s="750"/>
      <c r="F1" s="228"/>
    </row>
    <row r="2" spans="1:13" ht="13.5" thickBot="1">
      <c r="A2" s="229"/>
      <c r="B2" s="736" t="s">
        <v>113</v>
      </c>
      <c r="C2" s="737"/>
      <c r="D2" s="737"/>
      <c r="E2" s="738"/>
      <c r="F2" s="736" t="s">
        <v>200</v>
      </c>
      <c r="G2" s="737"/>
      <c r="H2" s="737"/>
      <c r="I2" s="737"/>
      <c r="J2" s="737" t="s">
        <v>202</v>
      </c>
      <c r="K2" s="737"/>
      <c r="L2" s="737"/>
      <c r="M2" s="738"/>
    </row>
    <row r="3" spans="1:13" ht="13.5" thickBot="1">
      <c r="A3" s="232" t="s">
        <v>4</v>
      </c>
      <c r="B3" s="232" t="s">
        <v>36</v>
      </c>
      <c r="C3" s="233" t="s">
        <v>37</v>
      </c>
      <c r="D3" s="233" t="s">
        <v>38</v>
      </c>
      <c r="E3" s="234" t="s">
        <v>41</v>
      </c>
      <c r="F3" s="232" t="s">
        <v>36</v>
      </c>
      <c r="G3" s="233" t="s">
        <v>37</v>
      </c>
      <c r="H3" s="233" t="s">
        <v>38</v>
      </c>
      <c r="I3" s="233" t="s">
        <v>41</v>
      </c>
      <c r="J3" s="232" t="s">
        <v>36</v>
      </c>
      <c r="K3" s="233" t="s">
        <v>37</v>
      </c>
      <c r="L3" s="233" t="s">
        <v>38</v>
      </c>
      <c r="M3" s="234" t="s">
        <v>41</v>
      </c>
    </row>
    <row r="4" spans="1:13" ht="13">
      <c r="A4" s="5"/>
      <c r="B4" s="5" t="s">
        <v>42</v>
      </c>
      <c r="C4" s="6" t="s">
        <v>42</v>
      </c>
      <c r="D4" s="6" t="s">
        <v>42</v>
      </c>
      <c r="E4" s="7" t="s">
        <v>43</v>
      </c>
      <c r="F4" s="5" t="s">
        <v>42</v>
      </c>
      <c r="G4" s="122" t="s">
        <v>42</v>
      </c>
      <c r="H4" s="122" t="s">
        <v>42</v>
      </c>
      <c r="I4" s="122" t="s">
        <v>43</v>
      </c>
      <c r="J4" s="104" t="s">
        <v>42</v>
      </c>
      <c r="K4" s="120" t="s">
        <v>42</v>
      </c>
      <c r="L4" s="120" t="s">
        <v>42</v>
      </c>
      <c r="M4" s="262" t="s">
        <v>43</v>
      </c>
    </row>
    <row r="5" spans="1:13" ht="13">
      <c r="A5" s="10"/>
      <c r="B5" s="10"/>
      <c r="C5" s="8"/>
      <c r="D5" s="8"/>
      <c r="E5" s="9"/>
      <c r="F5" s="10"/>
      <c r="G5" s="12"/>
      <c r="H5" s="12"/>
      <c r="I5" s="12"/>
      <c r="J5" s="11"/>
      <c r="K5" s="12"/>
      <c r="L5" s="12"/>
      <c r="M5" s="76"/>
    </row>
    <row r="6" spans="1:13" ht="13">
      <c r="A6" s="21" t="s">
        <v>5</v>
      </c>
      <c r="B6" s="21"/>
      <c r="C6" s="23">
        <f>'Sch A6-TOU Cust Fcst '!$B6*'Non-Residential TSM UC Adj'!S7</f>
        <v>0</v>
      </c>
      <c r="D6" s="23">
        <f>'Sch A6-TOU Cust Fcst '!$B6*'Non-Residential TSM UC Adj'!T7</f>
        <v>0</v>
      </c>
      <c r="E6" s="41">
        <f>IF(SUM(C6:D6)=0,0,SUM(C6:D6)/'Sch A6-TOU Cust Fcst '!B6)</f>
        <v>0</v>
      </c>
      <c r="F6" s="21"/>
      <c r="G6" s="57">
        <f>'Sch A6-TOU Cust Fcst '!$C6*'Non-Residential TSM UC Adj'!W7</f>
        <v>0</v>
      </c>
      <c r="H6" s="57">
        <f>'Sch A6-TOU Cust Fcst '!$C6*'Non-Residential TSM UC Adj'!X7</f>
        <v>0</v>
      </c>
      <c r="I6" s="23">
        <f>IF(SUM(G6:H6)=0,0,SUM(G6:H6)/'Sch A6-TOU Cust Fcst '!C6)</f>
        <v>0</v>
      </c>
      <c r="J6" s="11"/>
      <c r="K6" s="25">
        <f t="shared" ref="K6:K16" si="0">C6+G6</f>
        <v>0</v>
      </c>
      <c r="L6" s="25">
        <f t="shared" ref="L6:L16" si="1">D6+H6</f>
        <v>0</v>
      </c>
      <c r="M6" s="41">
        <f>IF(SUM(K6:L6)=0,0,SUM(K6:L6)/'Sch A6-TOU Cust Fcst '!D6)</f>
        <v>0</v>
      </c>
    </row>
    <row r="7" spans="1:13" ht="13">
      <c r="A7" s="21" t="s">
        <v>6</v>
      </c>
      <c r="B7" s="21"/>
      <c r="C7" s="23">
        <f>'Sch A6-TOU Cust Fcst '!$B7*'Non-Residential TSM UC Adj'!S8</f>
        <v>0</v>
      </c>
      <c r="D7" s="23">
        <f>'Sch A6-TOU Cust Fcst '!$B7*'Non-Residential TSM UC Adj'!T8</f>
        <v>0</v>
      </c>
      <c r="E7" s="41">
        <f>IF(SUM(C7:D7)=0,0,SUM(C7:D7)/'Sch A6-TOU Cust Fcst '!B7)</f>
        <v>0</v>
      </c>
      <c r="F7" s="21"/>
      <c r="G7" s="57">
        <f>'Sch A6-TOU Cust Fcst '!$C7*'Non-Residential TSM UC Adj'!W8</f>
        <v>0</v>
      </c>
      <c r="H7" s="57">
        <f>'Sch A6-TOU Cust Fcst '!$C7*'Non-Residential TSM UC Adj'!X8</f>
        <v>0</v>
      </c>
      <c r="I7" s="23">
        <f>IF(SUM(G7:H7)=0,0,SUM(G7:H7)/'Sch A6-TOU Cust Fcst '!C7)</f>
        <v>0</v>
      </c>
      <c r="J7" s="11"/>
      <c r="K7" s="25">
        <f t="shared" si="0"/>
        <v>0</v>
      </c>
      <c r="L7" s="25">
        <f t="shared" si="1"/>
        <v>0</v>
      </c>
      <c r="M7" s="41">
        <f>IF(SUM(K7:L7)=0,0,SUM(K7:L7)/'Sch A6-TOU Cust Fcst '!D7)</f>
        <v>0</v>
      </c>
    </row>
    <row r="8" spans="1:13" ht="13">
      <c r="A8" s="21" t="s">
        <v>7</v>
      </c>
      <c r="B8" s="21"/>
      <c r="C8" s="23">
        <f>'Sch A6-TOU Cust Fcst '!$B8*'Non-Residential TSM UC Adj'!S9</f>
        <v>0</v>
      </c>
      <c r="D8" s="23">
        <f>'Sch A6-TOU Cust Fcst '!$B8*'Non-Residential TSM UC Adj'!T9</f>
        <v>0</v>
      </c>
      <c r="E8" s="41">
        <f>IF(SUM(C8:D8)=0,0,SUM(C8:D8)/'Sch A6-TOU Cust Fcst '!B8)</f>
        <v>0</v>
      </c>
      <c r="F8" s="21"/>
      <c r="G8" s="57">
        <f>'Sch A6-TOU Cust Fcst '!$C8*'Non-Residential TSM UC Adj'!W9</f>
        <v>0</v>
      </c>
      <c r="H8" s="57">
        <f>'Sch A6-TOU Cust Fcst '!$C8*'Non-Residential TSM UC Adj'!X9</f>
        <v>0</v>
      </c>
      <c r="I8" s="23">
        <f>IF(SUM(G8:H8)=0,0,SUM(G8:H8)/'Sch A6-TOU Cust Fcst '!C8)</f>
        <v>0</v>
      </c>
      <c r="J8" s="11"/>
      <c r="K8" s="25">
        <f t="shared" si="0"/>
        <v>0</v>
      </c>
      <c r="L8" s="25">
        <f t="shared" si="1"/>
        <v>0</v>
      </c>
      <c r="M8" s="41">
        <f>IF(SUM(K8:L8)=0,0,SUM(K8:L8)/'Sch A6-TOU Cust Fcst '!D8)</f>
        <v>0</v>
      </c>
    </row>
    <row r="9" spans="1:13" ht="13">
      <c r="A9" s="21" t="s">
        <v>105</v>
      </c>
      <c r="B9" s="21"/>
      <c r="C9" s="23">
        <f>'Sch A6-TOU Cust Fcst '!$B9*'Non-Residential TSM UC Adj'!S10</f>
        <v>0</v>
      </c>
      <c r="D9" s="23">
        <f>'Sch A6-TOU Cust Fcst '!$B9*'Non-Residential TSM UC Adj'!T10</f>
        <v>0</v>
      </c>
      <c r="E9" s="41">
        <f>IF(SUM(C9:D9)=0,0,SUM(C9:D9)/'Sch A6-TOU Cust Fcst '!B9)</f>
        <v>0</v>
      </c>
      <c r="F9" s="21"/>
      <c r="G9" s="57">
        <f>'Sch A6-TOU Cust Fcst '!$C9*'Non-Residential TSM UC Adj'!W10</f>
        <v>0</v>
      </c>
      <c r="H9" s="57">
        <f>'Sch A6-TOU Cust Fcst '!$C9*'Non-Residential TSM UC Adj'!X10</f>
        <v>0</v>
      </c>
      <c r="I9" s="23">
        <f>IF(SUM(G9:H9)=0,0,SUM(G9:H9)/'Sch A6-TOU Cust Fcst '!C9)</f>
        <v>0</v>
      </c>
      <c r="J9" s="11"/>
      <c r="K9" s="25">
        <f t="shared" si="0"/>
        <v>0</v>
      </c>
      <c r="L9" s="25">
        <f t="shared" si="1"/>
        <v>0</v>
      </c>
      <c r="M9" s="41">
        <f>IF(SUM(K9:L9)=0,0,SUM(K9:L9)/'Sch A6-TOU Cust Fcst '!D9)</f>
        <v>0</v>
      </c>
    </row>
    <row r="10" spans="1:13" ht="13">
      <c r="A10" s="21" t="s">
        <v>97</v>
      </c>
      <c r="B10" s="21"/>
      <c r="C10" s="23">
        <f>'Sch A6-TOU Cust Fcst '!$B10*'Non-Residential TSM UC Adj'!S11</f>
        <v>0</v>
      </c>
      <c r="D10" s="23">
        <f>'Sch A6-TOU Cust Fcst '!$B10*'Non-Residential TSM UC Adj'!T11</f>
        <v>0</v>
      </c>
      <c r="E10" s="41">
        <f>IF(SUM(C10:D10)=0,0,SUM(C10:D10)/'Sch A6-TOU Cust Fcst '!B10)</f>
        <v>0</v>
      </c>
      <c r="F10" s="21"/>
      <c r="G10" s="57">
        <f>'Sch A6-TOU Cust Fcst '!$C10*'Non-Residential TSM UC Adj'!W11</f>
        <v>0</v>
      </c>
      <c r="H10" s="57">
        <f>'Sch A6-TOU Cust Fcst '!$C10*'Non-Residential TSM UC Adj'!X11</f>
        <v>0</v>
      </c>
      <c r="I10" s="23">
        <f>IF(SUM(G10:H10)=0,0,SUM(G10:H10)/'Sch A6-TOU Cust Fcst '!C10)</f>
        <v>0</v>
      </c>
      <c r="J10" s="11"/>
      <c r="K10" s="25">
        <f t="shared" si="0"/>
        <v>0</v>
      </c>
      <c r="L10" s="25">
        <f t="shared" si="1"/>
        <v>0</v>
      </c>
      <c r="M10" s="41">
        <f>IF(SUM(K10:L10)=0,0,SUM(K10:L10)/'Sch A6-TOU Cust Fcst '!D10)</f>
        <v>0</v>
      </c>
    </row>
    <row r="11" spans="1:13" ht="13">
      <c r="A11" s="21" t="s">
        <v>8</v>
      </c>
      <c r="B11" s="21"/>
      <c r="C11" s="23">
        <f>'Sch A6-TOU Cust Fcst '!$B11*'Non-Residential TSM UC Adj'!S12</f>
        <v>0</v>
      </c>
      <c r="D11" s="23">
        <f>'Sch A6-TOU Cust Fcst '!$B11*'Non-Residential TSM UC Adj'!T12</f>
        <v>0</v>
      </c>
      <c r="E11" s="41">
        <f>IF(SUM(C11:D11)=0,0,SUM(C11:D11)/'Sch A6-TOU Cust Fcst '!B11)</f>
        <v>0</v>
      </c>
      <c r="F11" s="21"/>
      <c r="G11" s="57">
        <f>'Sch A6-TOU Cust Fcst '!$C11*'Non-Residential TSM UC Adj'!W12</f>
        <v>0</v>
      </c>
      <c r="H11" s="57">
        <f>'Sch A6-TOU Cust Fcst '!$C11*'Non-Residential TSM UC Adj'!X12</f>
        <v>0</v>
      </c>
      <c r="I11" s="23">
        <f>IF(SUM(G11:H11)=0,0,SUM(G11:H11)/'Sch A6-TOU Cust Fcst '!C11)</f>
        <v>0</v>
      </c>
      <c r="J11" s="11"/>
      <c r="K11" s="25">
        <f t="shared" si="0"/>
        <v>0</v>
      </c>
      <c r="L11" s="25">
        <f t="shared" si="1"/>
        <v>0</v>
      </c>
      <c r="M11" s="41">
        <f>IF(SUM(K11:L11)=0,0,SUM(K11:L11)/'Sch A6-TOU Cust Fcst '!D11)</f>
        <v>0</v>
      </c>
    </row>
    <row r="12" spans="1:13" ht="13">
      <c r="A12" s="21" t="s">
        <v>9</v>
      </c>
      <c r="B12" s="21"/>
      <c r="C12" s="23">
        <f>'Sch A6-TOU Cust Fcst '!$B12*'Non-Residential TSM UC Adj'!S13</f>
        <v>0</v>
      </c>
      <c r="D12" s="23">
        <f>'Sch A6-TOU Cust Fcst '!$B12*'Non-Residential TSM UC Adj'!T13</f>
        <v>0</v>
      </c>
      <c r="E12" s="41">
        <f>IF(SUM(C12:D12)=0,0,SUM(C12:D12)/'Sch A6-TOU Cust Fcst '!B12)</f>
        <v>0</v>
      </c>
      <c r="F12" s="21"/>
      <c r="G12" s="57">
        <f>'Sch A6-TOU Cust Fcst '!$C12*'Non-Residential TSM UC Adj'!W13</f>
        <v>0</v>
      </c>
      <c r="H12" s="57">
        <f>'Sch A6-TOU Cust Fcst '!$C12*'Non-Residential TSM UC Adj'!X13</f>
        <v>0</v>
      </c>
      <c r="I12" s="23">
        <f>IF(SUM(G12:H12)=0,0,SUM(G12:H12)/'Sch A6-TOU Cust Fcst '!C12)</f>
        <v>0</v>
      </c>
      <c r="J12" s="11"/>
      <c r="K12" s="25">
        <f t="shared" si="0"/>
        <v>0</v>
      </c>
      <c r="L12" s="25">
        <f t="shared" si="1"/>
        <v>0</v>
      </c>
      <c r="M12" s="41">
        <f>IF(SUM(K12:L12)=0,0,SUM(K12:L12)/'Sch A6-TOU Cust Fcst '!D12)</f>
        <v>0</v>
      </c>
    </row>
    <row r="13" spans="1:13" ht="13">
      <c r="A13" s="21" t="s">
        <v>10</v>
      </c>
      <c r="B13" s="21"/>
      <c r="C13" s="23">
        <f>'Sch A6-TOU Cust Fcst '!$B13*'Non-Residential TSM UC Adj'!S14</f>
        <v>0</v>
      </c>
      <c r="D13" s="23">
        <f>'Sch A6-TOU Cust Fcst '!$B13*'Non-Residential TSM UC Adj'!T14</f>
        <v>0</v>
      </c>
      <c r="E13" s="41">
        <f>IF(SUM(C13:D13)=0,0,SUM(C13:D13)/'Sch A6-TOU Cust Fcst '!B13)</f>
        <v>0</v>
      </c>
      <c r="F13" s="21"/>
      <c r="G13" s="57">
        <f>'Sch A6-TOU Cust Fcst '!$C13*'Non-Residential TSM UC Adj'!W14</f>
        <v>0</v>
      </c>
      <c r="H13" s="57">
        <f>'Sch A6-TOU Cust Fcst '!$C13*'Non-Residential TSM UC Adj'!X14</f>
        <v>0</v>
      </c>
      <c r="I13" s="23">
        <f>IF(SUM(G13:H13)=0,0,SUM(G13:H13)/'Sch A6-TOU Cust Fcst '!C13)</f>
        <v>0</v>
      </c>
      <c r="J13" s="11"/>
      <c r="K13" s="25">
        <f t="shared" si="0"/>
        <v>0</v>
      </c>
      <c r="L13" s="25">
        <f t="shared" si="1"/>
        <v>0</v>
      </c>
      <c r="M13" s="41">
        <f>IF(SUM(K13:L13)=0,0,SUM(K13:L13)/'Sch A6-TOU Cust Fcst '!D13)</f>
        <v>0</v>
      </c>
    </row>
    <row r="14" spans="1:13" ht="13">
      <c r="A14" s="21" t="s">
        <v>11</v>
      </c>
      <c r="B14" s="21"/>
      <c r="C14" s="23">
        <f>'Sch A6-TOU Cust Fcst '!$B14*'Non-Residential TSM UC Adj'!S15</f>
        <v>0</v>
      </c>
      <c r="D14" s="23">
        <f>'Sch A6-TOU Cust Fcst '!$B14*'Non-Residential TSM UC Adj'!T15</f>
        <v>0</v>
      </c>
      <c r="E14" s="41">
        <f>IF(SUM(C14:D14)=0,0,SUM(C14:D14)/'Sch A6-TOU Cust Fcst '!B14)</f>
        <v>0</v>
      </c>
      <c r="F14" s="21"/>
      <c r="G14" s="57">
        <f>'Sch A6-TOU Cust Fcst '!$C14*'Non-Residential TSM UC Adj'!W15</f>
        <v>0</v>
      </c>
      <c r="H14" s="57">
        <f>'Sch A6-TOU Cust Fcst '!$C14*'Non-Residential TSM UC Adj'!X15</f>
        <v>0</v>
      </c>
      <c r="I14" s="23">
        <f>IF(SUM(G14:H14)=0,0,SUM(G14:H14)/'Sch A6-TOU Cust Fcst '!C14)</f>
        <v>0</v>
      </c>
      <c r="J14" s="11"/>
      <c r="K14" s="25">
        <f t="shared" si="0"/>
        <v>0</v>
      </c>
      <c r="L14" s="25">
        <f t="shared" si="1"/>
        <v>0</v>
      </c>
      <c r="M14" s="41">
        <f>IF(SUM(K14:L14)=0,0,SUM(K14:L14)/'Sch A6-TOU Cust Fcst '!D14)</f>
        <v>0</v>
      </c>
    </row>
    <row r="15" spans="1:13" ht="13">
      <c r="A15" s="21" t="s">
        <v>101</v>
      </c>
      <c r="B15" s="21"/>
      <c r="C15" s="23">
        <f>'Sch A6-TOU Cust Fcst '!$B15*'Non-Residential TSM UC Adj'!S16</f>
        <v>0</v>
      </c>
      <c r="D15" s="23">
        <f>'Sch A6-TOU Cust Fcst '!$B15*'Non-Residential TSM UC Adj'!T16</f>
        <v>0</v>
      </c>
      <c r="E15" s="41">
        <f>IF(SUM(C15:D15)=0,0,SUM(C15:D15)/'Sch A6-TOU Cust Fcst '!B15)</f>
        <v>0</v>
      </c>
      <c r="F15" s="21"/>
      <c r="G15" s="57">
        <f>'Sch A6-TOU Cust Fcst '!$C15*'Non-Residential TSM UC Adj'!W16</f>
        <v>0</v>
      </c>
      <c r="H15" s="57">
        <f>'Sch A6-TOU Cust Fcst '!$C15*'Non-Residential TSM UC Adj'!X16</f>
        <v>0</v>
      </c>
      <c r="I15" s="23">
        <f>IF(SUM(G15:H15)=0,0,SUM(G15:H15)/'Sch A6-TOU Cust Fcst '!C15)</f>
        <v>0</v>
      </c>
      <c r="J15" s="11"/>
      <c r="K15" s="25">
        <f t="shared" si="0"/>
        <v>0</v>
      </c>
      <c r="L15" s="25">
        <f t="shared" si="1"/>
        <v>0</v>
      </c>
      <c r="M15" s="41">
        <f>IF(SUM(K15:L15)=0,0,SUM(K15:L15)/'Sch A6-TOU Cust Fcst '!D15)</f>
        <v>0</v>
      </c>
    </row>
    <row r="16" spans="1:13" ht="13">
      <c r="A16" s="21" t="s">
        <v>102</v>
      </c>
      <c r="B16" s="21"/>
      <c r="C16" s="23">
        <f>'Sch A6-TOU Cust Fcst '!$B16*'Non-Residential TSM UC Adj'!S17</f>
        <v>0</v>
      </c>
      <c r="D16" s="23">
        <f>'Sch A6-TOU Cust Fcst '!$B16*'Non-Residential TSM UC Adj'!T17</f>
        <v>0</v>
      </c>
      <c r="E16" s="41">
        <f>IF(SUM(C16:D16)=0,0,SUM(C16:D16)/'Sch A6-TOU Cust Fcst '!B16)</f>
        <v>0</v>
      </c>
      <c r="F16" s="21"/>
      <c r="G16" s="57">
        <f>'Sch A6-TOU Cust Fcst '!$C16*'Non-Residential TSM UC Adj'!W17</f>
        <v>0</v>
      </c>
      <c r="H16" s="57">
        <f>'Sch A6-TOU Cust Fcst '!$C16*'Non-Residential TSM UC Adj'!X17</f>
        <v>0</v>
      </c>
      <c r="I16" s="23">
        <f>IF(SUM(G16:H16)=0,0,SUM(G16:H16)/'Sch A6-TOU Cust Fcst '!C16)</f>
        <v>0</v>
      </c>
      <c r="J16" s="11"/>
      <c r="K16" s="25">
        <f t="shared" si="0"/>
        <v>0</v>
      </c>
      <c r="L16" s="25">
        <f t="shared" si="1"/>
        <v>0</v>
      </c>
      <c r="M16" s="41">
        <f>IF(SUM(K16:L16)=0,0,SUM(K16:L16)/'Sch A6-TOU Cust Fcst '!D16)</f>
        <v>0</v>
      </c>
    </row>
    <row r="17" spans="1:13" ht="13">
      <c r="A17" s="21" t="s">
        <v>12</v>
      </c>
      <c r="B17" s="21"/>
      <c r="C17" s="23">
        <f>'Sch A6-TOU Cust Fcst '!$B17*'Non-Residential TSM UC Adj'!S18</f>
        <v>0</v>
      </c>
      <c r="D17" s="23">
        <f>'Sch A6-TOU Cust Fcst '!$B17*'Non-Residential TSM UC Adj'!T18</f>
        <v>0</v>
      </c>
      <c r="E17" s="41">
        <f>IF(SUM(C17:D17)=0,0,SUM(C17:D17)/'Sch A6-TOU Cust Fcst '!B17)</f>
        <v>0</v>
      </c>
      <c r="F17" s="21"/>
      <c r="G17" s="57">
        <f>'Sch A6-TOU Cust Fcst '!$C17*'Non-Residential TSM UC Adj'!W18</f>
        <v>0</v>
      </c>
      <c r="H17" s="57">
        <f>'Sch A6-TOU Cust Fcst '!$C17*'Non-Residential TSM UC Adj'!X18</f>
        <v>0</v>
      </c>
      <c r="I17" s="23">
        <f>IF(SUM(G17:H17)=0,0,SUM(G17:H17)/'Sch A6-TOU Cust Fcst '!C17)</f>
        <v>0</v>
      </c>
      <c r="J17" s="11"/>
      <c r="K17" s="25"/>
      <c r="L17" s="25"/>
      <c r="M17" s="41">
        <f>IF(SUM(K17:L17)=0,0,SUM(K17:L17)/'Sch A6-TOU Cust Fcst '!D17)</f>
        <v>0</v>
      </c>
    </row>
    <row r="18" spans="1:13" ht="13">
      <c r="A18" s="21" t="s">
        <v>13</v>
      </c>
      <c r="B18" s="21"/>
      <c r="C18" s="23">
        <f>'Sch A6-TOU Cust Fcst '!$B18*'Non-Residential TSM UC Adj'!S19</f>
        <v>0</v>
      </c>
      <c r="D18" s="23">
        <f>'Sch A6-TOU Cust Fcst '!$B18*'Non-Residential TSM UC Adj'!T19</f>
        <v>0</v>
      </c>
      <c r="E18" s="41">
        <f>IF(SUM(C18:D18)=0,0,SUM(C18:D18)/'Sch A6-TOU Cust Fcst '!B18)</f>
        <v>0</v>
      </c>
      <c r="F18" s="21"/>
      <c r="G18" s="57">
        <f>'Sch A6-TOU Cust Fcst '!$C18*'Non-Residential TSM UC Adj'!W19</f>
        <v>0</v>
      </c>
      <c r="H18" s="57">
        <f>'Sch A6-TOU Cust Fcst '!$C18*'Non-Residential TSM UC Adj'!X19</f>
        <v>0</v>
      </c>
      <c r="I18" s="23">
        <f>IF(SUM(G18:H18)=0,0,SUM(G18:H18)/'Sch A6-TOU Cust Fcst '!C18)</f>
        <v>0</v>
      </c>
      <c r="J18" s="11"/>
      <c r="K18" s="25">
        <f t="shared" ref="K18:K36" si="2">C18+G18</f>
        <v>0</v>
      </c>
      <c r="L18" s="25">
        <f t="shared" ref="L18:L36" si="3">D18+H18</f>
        <v>0</v>
      </c>
      <c r="M18" s="41">
        <f>IF(SUM(K18:L18)=0,0,SUM(K18:L18)/'Sch A6-TOU Cust Fcst '!D18)</f>
        <v>0</v>
      </c>
    </row>
    <row r="19" spans="1:13" ht="13">
      <c r="A19" s="21" t="s">
        <v>103</v>
      </c>
      <c r="B19" s="21"/>
      <c r="C19" s="23">
        <f>'Sch A6-TOU Cust Fcst '!$B19*'Non-Residential TSM UC Adj'!S20</f>
        <v>0</v>
      </c>
      <c r="D19" s="23">
        <f>'Sch A6-TOU Cust Fcst '!$B19*'Non-Residential TSM UC Adj'!T20</f>
        <v>0</v>
      </c>
      <c r="E19" s="41">
        <f>IF(SUM(C19:D19)=0,0,SUM(C19:D19)/'Sch A6-TOU Cust Fcst '!B19)</f>
        <v>0</v>
      </c>
      <c r="F19" s="21"/>
      <c r="G19" s="57">
        <f>'Sch A6-TOU Cust Fcst '!$C19*'Non-Residential TSM UC Adj'!W20</f>
        <v>0</v>
      </c>
      <c r="H19" s="57">
        <f>'Sch A6-TOU Cust Fcst '!$C19*'Non-Residential TSM UC Adj'!X20</f>
        <v>0</v>
      </c>
      <c r="I19" s="23">
        <f>IF(SUM(G19:H19)=0,0,SUM(G19:H19)/'Sch A6-TOU Cust Fcst '!C19)</f>
        <v>0</v>
      </c>
      <c r="J19" s="11"/>
      <c r="K19" s="25">
        <f t="shared" si="2"/>
        <v>0</v>
      </c>
      <c r="L19" s="25">
        <f t="shared" si="3"/>
        <v>0</v>
      </c>
      <c r="M19" s="41">
        <f>IF(SUM(K19:L19)=0,0,SUM(K19:L19)/'Sch A6-TOU Cust Fcst '!D19)</f>
        <v>0</v>
      </c>
    </row>
    <row r="20" spans="1:13" ht="13">
      <c r="A20" s="21" t="s">
        <v>104</v>
      </c>
      <c r="B20" s="21"/>
      <c r="C20" s="23">
        <f>'Sch A6-TOU Cust Fcst '!$B20*'Non-Residential TSM UC Adj'!S21</f>
        <v>0</v>
      </c>
      <c r="D20" s="23">
        <f>'Sch A6-TOU Cust Fcst '!$B20*'Non-Residential TSM UC Adj'!T21</f>
        <v>0</v>
      </c>
      <c r="E20" s="41">
        <f>IF(SUM(C20:D20)=0,0,SUM(C20:D20)/'Sch A6-TOU Cust Fcst '!B20)</f>
        <v>0</v>
      </c>
      <c r="F20" s="21"/>
      <c r="G20" s="57">
        <f>'Sch A6-TOU Cust Fcst '!$C20*'Non-Residential TSM UC Adj'!W21</f>
        <v>0</v>
      </c>
      <c r="H20" s="57">
        <f>'Sch A6-TOU Cust Fcst '!$C20*'Non-Residential TSM UC Adj'!X21</f>
        <v>0</v>
      </c>
      <c r="I20" s="23">
        <f>IF(SUM(G20:H20)=0,0,SUM(G20:H20)/'Sch A6-TOU Cust Fcst '!C20)</f>
        <v>0</v>
      </c>
      <c r="J20" s="11"/>
      <c r="K20" s="25">
        <f t="shared" si="2"/>
        <v>0</v>
      </c>
      <c r="L20" s="25">
        <f t="shared" si="3"/>
        <v>0</v>
      </c>
      <c r="M20" s="41">
        <f>IF(SUM(K20:L20)=0,0,SUM(K20:L20)/'Sch A6-TOU Cust Fcst '!D20)</f>
        <v>0</v>
      </c>
    </row>
    <row r="21" spans="1:13" ht="13">
      <c r="A21" s="21" t="s">
        <v>14</v>
      </c>
      <c r="B21" s="21"/>
      <c r="C21" s="23">
        <f>'Sch A6-TOU Cust Fcst '!$B21*'Non-Residential TSM UC Adj'!S22</f>
        <v>0</v>
      </c>
      <c r="D21" s="23">
        <f>'Sch A6-TOU Cust Fcst '!$B21*'Non-Residential TSM UC Adj'!T22</f>
        <v>0</v>
      </c>
      <c r="E21" s="41">
        <f>IF(SUM(C21:D21)=0,0,SUM(C21:D21)/'Sch A6-TOU Cust Fcst '!B21)</f>
        <v>0</v>
      </c>
      <c r="F21" s="21"/>
      <c r="G21" s="57">
        <f>'Sch A6-TOU Cust Fcst '!$C21*'Non-Residential TSM UC Adj'!W22</f>
        <v>0</v>
      </c>
      <c r="H21" s="57">
        <f>'Sch A6-TOU Cust Fcst '!$C21*'Non-Residential TSM UC Adj'!X22</f>
        <v>0</v>
      </c>
      <c r="I21" s="23">
        <f>IF(SUM(G21:H21)=0,0,SUM(G21:H21)/'Sch A6-TOU Cust Fcst '!C21)</f>
        <v>0</v>
      </c>
      <c r="J21" s="11"/>
      <c r="K21" s="25">
        <f t="shared" si="2"/>
        <v>0</v>
      </c>
      <c r="L21" s="25">
        <f t="shared" si="3"/>
        <v>0</v>
      </c>
      <c r="M21" s="41">
        <f>IF(SUM(K21:L21)=0,0,SUM(K21:L21)/'Sch A6-TOU Cust Fcst '!D21)</f>
        <v>0</v>
      </c>
    </row>
    <row r="22" spans="1:13" ht="13">
      <c r="A22" s="21" t="s">
        <v>15</v>
      </c>
      <c r="B22" s="21"/>
      <c r="C22" s="23">
        <f>'Sch A6-TOU Cust Fcst '!$B22*'Non-Residential TSM UC Adj'!S23</f>
        <v>0</v>
      </c>
      <c r="D22" s="23">
        <f>'Sch A6-TOU Cust Fcst '!$B22*'Non-Residential TSM UC Adj'!T23</f>
        <v>0</v>
      </c>
      <c r="E22" s="41">
        <f>IF(SUM(C22:D22)=0,0,SUM(C22:D22)/'Sch A6-TOU Cust Fcst '!B22)</f>
        <v>0</v>
      </c>
      <c r="F22" s="21"/>
      <c r="G22" s="57">
        <f>'Sch A6-TOU Cust Fcst '!$C22*'Non-Residential TSM UC Adj'!W23</f>
        <v>0</v>
      </c>
      <c r="H22" s="57">
        <f>'Sch A6-TOU Cust Fcst '!$C22*'Non-Residential TSM UC Adj'!X23</f>
        <v>0</v>
      </c>
      <c r="I22" s="23">
        <f>IF(SUM(G22:H22)=0,0,SUM(G22:H22)/'Sch A6-TOU Cust Fcst '!C22)</f>
        <v>0</v>
      </c>
      <c r="J22" s="11"/>
      <c r="K22" s="25">
        <f t="shared" si="2"/>
        <v>0</v>
      </c>
      <c r="L22" s="25">
        <f t="shared" si="3"/>
        <v>0</v>
      </c>
      <c r="M22" s="41">
        <f>IF(SUM(K22:L22)=0,0,SUM(K22:L22)/'Sch A6-TOU Cust Fcst '!D22)</f>
        <v>0</v>
      </c>
    </row>
    <row r="23" spans="1:13" ht="13">
      <c r="A23" s="21" t="s">
        <v>16</v>
      </c>
      <c r="B23" s="21"/>
      <c r="C23" s="23">
        <f>'Sch A6-TOU Cust Fcst '!$B23*'Non-Residential TSM UC Adj'!S24</f>
        <v>0</v>
      </c>
      <c r="D23" s="23">
        <f>'Sch A6-TOU Cust Fcst '!$B23*'Non-Residential TSM UC Adj'!T24</f>
        <v>0</v>
      </c>
      <c r="E23" s="41">
        <f>IF(SUM(C23:D23)=0,0,SUM(C23:D23)/'Sch A6-TOU Cust Fcst '!B23)</f>
        <v>0</v>
      </c>
      <c r="F23" s="21"/>
      <c r="G23" s="57">
        <f>'Sch A6-TOU Cust Fcst '!$C23*'Non-Residential TSM UC Adj'!W24</f>
        <v>0</v>
      </c>
      <c r="H23" s="57">
        <f>'Sch A6-TOU Cust Fcst '!$C23*'Non-Residential TSM UC Adj'!X24</f>
        <v>0</v>
      </c>
      <c r="I23" s="23">
        <f>IF(SUM(G23:H23)=0,0,SUM(G23:H23)/'Sch A6-TOU Cust Fcst '!C23)</f>
        <v>0</v>
      </c>
      <c r="J23" s="11"/>
      <c r="K23" s="25">
        <f t="shared" si="2"/>
        <v>0</v>
      </c>
      <c r="L23" s="25">
        <f t="shared" si="3"/>
        <v>0</v>
      </c>
      <c r="M23" s="41">
        <f>IF(SUM(K23:L23)=0,0,SUM(K23:L23)/'Sch A6-TOU Cust Fcst '!D23)</f>
        <v>0</v>
      </c>
    </row>
    <row r="24" spans="1:13" ht="13">
      <c r="A24" s="21" t="s">
        <v>17</v>
      </c>
      <c r="B24" s="21"/>
      <c r="C24" s="23">
        <f>'Sch A6-TOU Cust Fcst '!$B24*'Non-Residential TSM UC Adj'!S25</f>
        <v>3129.9273129422195</v>
      </c>
      <c r="D24" s="23">
        <f>'Sch A6-TOU Cust Fcst '!$B24*'Non-Residential TSM UC Adj'!T25</f>
        <v>967.82163835260417</v>
      </c>
      <c r="E24" s="41">
        <f>IF(SUM(C24:D24)=0,0,SUM(C24:D24)/'Sch A6-TOU Cust Fcst '!B24)</f>
        <v>4097.7489512948232</v>
      </c>
      <c r="F24" s="21"/>
      <c r="G24" s="57">
        <f>'Sch A6-TOU Cust Fcst '!$C24*'Non-Residential TSM UC Adj'!W25</f>
        <v>0</v>
      </c>
      <c r="H24" s="57">
        <f>'Sch A6-TOU Cust Fcst '!$C24*'Non-Residential TSM UC Adj'!X25</f>
        <v>0</v>
      </c>
      <c r="I24" s="23">
        <f>IF(SUM(G24:H24)=0,0,SUM(G24:H24)/'Sch A6-TOU Cust Fcst '!C24)</f>
        <v>0</v>
      </c>
      <c r="J24" s="11"/>
      <c r="K24" s="25">
        <f t="shared" si="2"/>
        <v>3129.9273129422195</v>
      </c>
      <c r="L24" s="25">
        <f t="shared" si="3"/>
        <v>967.82163835260417</v>
      </c>
      <c r="M24" s="41">
        <f>IF(SUM(K24:L24)=0,0,SUM(K24:L24)/'Sch A6-TOU Cust Fcst '!D24)</f>
        <v>4097.7489512948232</v>
      </c>
    </row>
    <row r="25" spans="1:13" ht="13">
      <c r="A25" s="21" t="s">
        <v>18</v>
      </c>
      <c r="B25" s="21"/>
      <c r="C25" s="23">
        <f>'Sch A6-TOU Cust Fcst '!$B25*'Non-Residential TSM UC Adj'!S26</f>
        <v>0</v>
      </c>
      <c r="D25" s="23">
        <f>'Sch A6-TOU Cust Fcst '!$B25*'Non-Residential TSM UC Adj'!T26</f>
        <v>0</v>
      </c>
      <c r="E25" s="41">
        <f>IF(SUM(C25:D25)=0,0,SUM(C25:D25)/'Sch A6-TOU Cust Fcst '!B25)</f>
        <v>0</v>
      </c>
      <c r="F25" s="21"/>
      <c r="G25" s="57">
        <f>'Sch A6-TOU Cust Fcst '!$C25*'Non-Residential TSM UC Adj'!W26</f>
        <v>0</v>
      </c>
      <c r="H25" s="57">
        <f>'Sch A6-TOU Cust Fcst '!$C25*'Non-Residential TSM UC Adj'!X26</f>
        <v>0</v>
      </c>
      <c r="I25" s="23">
        <f>IF(SUM(G25:H25)=0,0,SUM(G25:H25)/'Sch A6-TOU Cust Fcst '!C25)</f>
        <v>0</v>
      </c>
      <c r="J25" s="11"/>
      <c r="K25" s="25">
        <f t="shared" si="2"/>
        <v>0</v>
      </c>
      <c r="L25" s="25">
        <f t="shared" si="3"/>
        <v>0</v>
      </c>
      <c r="M25" s="41">
        <f>IF(SUM(K25:L25)=0,0,SUM(K25:L25)/'Sch A6-TOU Cust Fcst '!D25)</f>
        <v>0</v>
      </c>
    </row>
    <row r="26" spans="1:13" ht="13">
      <c r="A26" s="21" t="s">
        <v>19</v>
      </c>
      <c r="B26" s="21"/>
      <c r="C26" s="23">
        <f>'Sch A6-TOU Cust Fcst '!$B26*'Non-Residential TSM UC Adj'!S27</f>
        <v>0</v>
      </c>
      <c r="D26" s="23">
        <f>'Sch A6-TOU Cust Fcst '!$B26*'Non-Residential TSM UC Adj'!T27</f>
        <v>0</v>
      </c>
      <c r="E26" s="41">
        <f>IF(SUM(C26:D26)=0,0,SUM(C26:D26)/'Sch A6-TOU Cust Fcst '!B26)</f>
        <v>0</v>
      </c>
      <c r="F26" s="21"/>
      <c r="G26" s="57">
        <f>'Sch A6-TOU Cust Fcst '!$C26*'Non-Residential TSM UC Adj'!W27</f>
        <v>0</v>
      </c>
      <c r="H26" s="57">
        <f>'Sch A6-TOU Cust Fcst '!$C26*'Non-Residential TSM UC Adj'!X27</f>
        <v>0</v>
      </c>
      <c r="I26" s="23">
        <f>IF(SUM(G26:H26)=0,0,SUM(G26:H26)/'Sch A6-TOU Cust Fcst '!C26)</f>
        <v>0</v>
      </c>
      <c r="J26" s="11"/>
      <c r="K26" s="25">
        <f t="shared" si="2"/>
        <v>0</v>
      </c>
      <c r="L26" s="25">
        <f t="shared" si="3"/>
        <v>0</v>
      </c>
      <c r="M26" s="41">
        <f>IF(SUM(K26:L26)=0,0,SUM(K26:L26)/'Sch A6-TOU Cust Fcst '!D26)</f>
        <v>0</v>
      </c>
    </row>
    <row r="27" spans="1:13" ht="13">
      <c r="A27" s="21" t="s">
        <v>20</v>
      </c>
      <c r="B27" s="21"/>
      <c r="C27" s="23">
        <f>'Sch A6-TOU Cust Fcst '!$B27*'Non-Residential TSM UC Adj'!S28</f>
        <v>0</v>
      </c>
      <c r="D27" s="23">
        <f>'Sch A6-TOU Cust Fcst '!$B27*'Non-Residential TSM UC Adj'!T28</f>
        <v>0</v>
      </c>
      <c r="E27" s="41">
        <f>IF(SUM(C27:D27)=0,0,SUM(C27:D27)/'Sch A6-TOU Cust Fcst '!B27)</f>
        <v>0</v>
      </c>
      <c r="F27" s="21"/>
      <c r="G27" s="57">
        <f>'Sch A6-TOU Cust Fcst '!$C27*'Non-Residential TSM UC Adj'!W28</f>
        <v>0</v>
      </c>
      <c r="H27" s="57">
        <f>'Sch A6-TOU Cust Fcst '!$C27*'Non-Residential TSM UC Adj'!X28</f>
        <v>0</v>
      </c>
      <c r="I27" s="23">
        <f>IF(SUM(G27:H27)=0,0,SUM(G27:H27)/'Sch A6-TOU Cust Fcst '!C27)</f>
        <v>0</v>
      </c>
      <c r="J27" s="11"/>
      <c r="K27" s="25">
        <f t="shared" si="2"/>
        <v>0</v>
      </c>
      <c r="L27" s="25">
        <f t="shared" si="3"/>
        <v>0</v>
      </c>
      <c r="M27" s="41">
        <f>IF(SUM(K27:L27)=0,0,SUM(K27:L27)/'Sch A6-TOU Cust Fcst '!D27)</f>
        <v>0</v>
      </c>
    </row>
    <row r="28" spans="1:13" ht="13">
      <c r="A28" s="21" t="s">
        <v>21</v>
      </c>
      <c r="B28" s="21"/>
      <c r="C28" s="23">
        <f>'Sch A6-TOU Cust Fcst '!$B28*'Non-Residential TSM UC Adj'!S29</f>
        <v>0</v>
      </c>
      <c r="D28" s="23">
        <f>'Sch A6-TOU Cust Fcst '!$B28*'Non-Residential TSM UC Adj'!T29</f>
        <v>0</v>
      </c>
      <c r="E28" s="41">
        <f>IF(SUM(C28:D28)=0,0,SUM(C28:D28)/'Sch A6-TOU Cust Fcst '!B28)</f>
        <v>0</v>
      </c>
      <c r="F28" s="21"/>
      <c r="G28" s="57">
        <f>'Sch A6-TOU Cust Fcst '!$C28*'Non-Residential TSM UC Adj'!W29</f>
        <v>0</v>
      </c>
      <c r="H28" s="57">
        <f>'Sch A6-TOU Cust Fcst '!$C28*'Non-Residential TSM UC Adj'!X29</f>
        <v>0</v>
      </c>
      <c r="I28" s="23">
        <f>IF(SUM(G28:H28)=0,0,SUM(G28:H28)/'Sch A6-TOU Cust Fcst '!C28)</f>
        <v>0</v>
      </c>
      <c r="J28" s="11"/>
      <c r="K28" s="25">
        <f t="shared" si="2"/>
        <v>0</v>
      </c>
      <c r="L28" s="25">
        <f t="shared" si="3"/>
        <v>0</v>
      </c>
      <c r="M28" s="41">
        <f>IF(SUM(K28:L28)=0,0,SUM(K28:L28)/'Sch A6-TOU Cust Fcst '!D28)</f>
        <v>0</v>
      </c>
    </row>
    <row r="29" spans="1:13" ht="13">
      <c r="A29" s="21" t="s">
        <v>22</v>
      </c>
      <c r="B29" s="21"/>
      <c r="C29" s="23">
        <f>'Sch A6-TOU Cust Fcst '!$B29*'Non-Residential TSM UC Adj'!S30</f>
        <v>0</v>
      </c>
      <c r="D29" s="23">
        <f>'Sch A6-TOU Cust Fcst '!$B29*'Non-Residential TSM UC Adj'!T30</f>
        <v>0</v>
      </c>
      <c r="E29" s="41">
        <f>IF(SUM(C29:D29)=0,0,SUM(C29:D29)/'Sch A6-TOU Cust Fcst '!B29)</f>
        <v>0</v>
      </c>
      <c r="F29" s="21"/>
      <c r="G29" s="57">
        <f>'Sch A6-TOU Cust Fcst '!$C29*'Non-Residential TSM UC Adj'!W30</f>
        <v>0</v>
      </c>
      <c r="H29" s="57">
        <f>'Sch A6-TOU Cust Fcst '!$C29*'Non-Residential TSM UC Adj'!X30</f>
        <v>0</v>
      </c>
      <c r="I29" s="23">
        <f>IF(SUM(G29:H29)=0,0,SUM(G29:H29)/'Sch A6-TOU Cust Fcst '!C29)</f>
        <v>0</v>
      </c>
      <c r="J29" s="11"/>
      <c r="K29" s="25">
        <f t="shared" si="2"/>
        <v>0</v>
      </c>
      <c r="L29" s="25">
        <f t="shared" si="3"/>
        <v>0</v>
      </c>
      <c r="M29" s="41">
        <f>IF(SUM(K29:L29)=0,0,SUM(K29:L29)/'Sch A6-TOU Cust Fcst '!D29)</f>
        <v>0</v>
      </c>
    </row>
    <row r="30" spans="1:13" ht="13">
      <c r="A30" s="21" t="s">
        <v>23</v>
      </c>
      <c r="B30" s="21"/>
      <c r="C30" s="23">
        <f>'Sch A6-TOU Cust Fcst '!$B30*'Non-Residential TSM UC Adj'!S31</f>
        <v>0</v>
      </c>
      <c r="D30" s="23">
        <f>'Sch A6-TOU Cust Fcst '!$B30*'Non-Residential TSM UC Adj'!T31</f>
        <v>0</v>
      </c>
      <c r="E30" s="41">
        <f>IF(SUM(C30:D30)=0,0,SUM(C30:D30)/'Sch A6-TOU Cust Fcst '!B30)</f>
        <v>0</v>
      </c>
      <c r="F30" s="21"/>
      <c r="G30" s="57">
        <f>'Sch A6-TOU Cust Fcst '!$C30*'Non-Residential TSM UC Adj'!W31</f>
        <v>0</v>
      </c>
      <c r="H30" s="57">
        <f>'Sch A6-TOU Cust Fcst '!$C30*'Non-Residential TSM UC Adj'!X31</f>
        <v>0</v>
      </c>
      <c r="I30" s="23">
        <f>IF(SUM(G30:H30)=0,0,SUM(G30:H30)/'Sch A6-TOU Cust Fcst '!C30)</f>
        <v>0</v>
      </c>
      <c r="J30" s="11"/>
      <c r="K30" s="25">
        <f t="shared" si="2"/>
        <v>0</v>
      </c>
      <c r="L30" s="25">
        <f t="shared" si="3"/>
        <v>0</v>
      </c>
      <c r="M30" s="41">
        <f>IF(SUM(K30:L30)=0,0,SUM(K30:L30)/'Sch A6-TOU Cust Fcst '!D30)</f>
        <v>0</v>
      </c>
    </row>
    <row r="31" spans="1:13" ht="13">
      <c r="A31" s="21" t="s">
        <v>24</v>
      </c>
      <c r="B31" s="21"/>
      <c r="C31" s="23">
        <f>'Sch A6-TOU Cust Fcst '!$B31*'Non-Residential TSM UC Adj'!S32</f>
        <v>0</v>
      </c>
      <c r="D31" s="23">
        <f>'Sch A6-TOU Cust Fcst '!$B31*'Non-Residential TSM UC Adj'!T32</f>
        <v>0</v>
      </c>
      <c r="E31" s="41">
        <f>IF(SUM(C31:D31)=0,0,SUM(C31:D31)/'Sch A6-TOU Cust Fcst '!B31)</f>
        <v>0</v>
      </c>
      <c r="F31" s="21"/>
      <c r="G31" s="57">
        <f>'Sch A6-TOU Cust Fcst '!$C31*'Non-Residential TSM UC Adj'!W32</f>
        <v>0</v>
      </c>
      <c r="H31" s="57">
        <f>'Sch A6-TOU Cust Fcst '!$C31*'Non-Residential TSM UC Adj'!X32</f>
        <v>0</v>
      </c>
      <c r="I31" s="23">
        <f>IF(SUM(G31:H31)=0,0,SUM(G31:H31)/'Sch A6-TOU Cust Fcst '!C31)</f>
        <v>0</v>
      </c>
      <c r="J31" s="11"/>
      <c r="K31" s="25">
        <f t="shared" si="2"/>
        <v>0</v>
      </c>
      <c r="L31" s="25">
        <f t="shared" si="3"/>
        <v>0</v>
      </c>
      <c r="M31" s="41">
        <f>IF(SUM(K31:L31)=0,0,SUM(K31:L31)/'Sch A6-TOU Cust Fcst '!D31)</f>
        <v>0</v>
      </c>
    </row>
    <row r="32" spans="1:13" ht="13">
      <c r="A32" s="21" t="s">
        <v>25</v>
      </c>
      <c r="B32" s="21"/>
      <c r="C32" s="23">
        <f>'Sch A6-TOU Cust Fcst '!$B32*'Non-Residential TSM UC Adj'!S33</f>
        <v>0</v>
      </c>
      <c r="D32" s="23">
        <f>'Sch A6-TOU Cust Fcst '!$B32*'Non-Residential TSM UC Adj'!T33</f>
        <v>0</v>
      </c>
      <c r="E32" s="41">
        <f>IF(SUM(C32:D32)=0,0,SUM(C32:D32)/'Sch A6-TOU Cust Fcst '!B32)</f>
        <v>0</v>
      </c>
      <c r="F32" s="21"/>
      <c r="G32" s="57">
        <f>'Sch A6-TOU Cust Fcst '!$C32*'Non-Residential TSM UC Adj'!W33</f>
        <v>0</v>
      </c>
      <c r="H32" s="57">
        <f>'Sch A6-TOU Cust Fcst '!$C32*'Non-Residential TSM UC Adj'!X33</f>
        <v>0</v>
      </c>
      <c r="I32" s="23">
        <f>IF(SUM(G32:H32)=0,0,SUM(G32:H32)/'Sch A6-TOU Cust Fcst '!C32)</f>
        <v>0</v>
      </c>
      <c r="J32" s="11"/>
      <c r="K32" s="25">
        <f t="shared" si="2"/>
        <v>0</v>
      </c>
      <c r="L32" s="25">
        <f t="shared" si="3"/>
        <v>0</v>
      </c>
      <c r="M32" s="41">
        <f>IF(SUM(K32:L32)=0,0,SUM(K32:L32)/'Sch A6-TOU Cust Fcst '!D32)</f>
        <v>0</v>
      </c>
    </row>
    <row r="33" spans="1:14" ht="13">
      <c r="A33" s="22" t="s">
        <v>106</v>
      </c>
      <c r="B33" s="22"/>
      <c r="C33" s="23">
        <f>'Sch A6-TOU Cust Fcst '!$B33*'Non-Residential TSM UC Adj'!S34</f>
        <v>0</v>
      </c>
      <c r="D33" s="23">
        <f>'Sch A6-TOU Cust Fcst '!$B33*'Non-Residential TSM UC Adj'!T34</f>
        <v>0</v>
      </c>
      <c r="E33" s="41">
        <f>IF(SUM(C33:D33)=0,0,SUM(C33:D33)/'Sch A6-TOU Cust Fcst '!B33)</f>
        <v>0</v>
      </c>
      <c r="F33" s="22"/>
      <c r="G33" s="57">
        <f>'Sch A6-TOU Cust Fcst '!$C33*'Non-Residential TSM UC Adj'!W34</f>
        <v>0</v>
      </c>
      <c r="H33" s="57">
        <f>'Sch A6-TOU Cust Fcst '!$C33*'Non-Residential TSM UC Adj'!X34</f>
        <v>0</v>
      </c>
      <c r="I33" s="23">
        <f>IF(SUM(G33:H33)=0,0,SUM(G33:H33)/'Sch A6-TOU Cust Fcst '!C33)</f>
        <v>0</v>
      </c>
      <c r="J33" s="11"/>
      <c r="K33" s="25">
        <f t="shared" si="2"/>
        <v>0</v>
      </c>
      <c r="L33" s="25">
        <f t="shared" si="3"/>
        <v>0</v>
      </c>
      <c r="M33" s="41">
        <f>IF(SUM(K33:L33)=0,0,SUM(K33:L33)/'Sch A6-TOU Cust Fcst '!D33)</f>
        <v>0</v>
      </c>
    </row>
    <row r="34" spans="1:14" ht="13">
      <c r="A34" s="21" t="s">
        <v>107</v>
      </c>
      <c r="B34" s="21"/>
      <c r="C34" s="23">
        <f>'Sch A6-TOU Cust Fcst '!$B34*'Non-Residential TSM UC Adj'!S35</f>
        <v>0</v>
      </c>
      <c r="D34" s="23">
        <f>'Sch A6-TOU Cust Fcst '!$B34*'Non-Residential TSM UC Adj'!T35</f>
        <v>0</v>
      </c>
      <c r="E34" s="41">
        <f>IF(SUM(C34:D34)=0,0,SUM(C34:D34)/'Sch A6-TOU Cust Fcst '!B34)</f>
        <v>0</v>
      </c>
      <c r="F34" s="21"/>
      <c r="G34" s="57">
        <f>'Sch A6-TOU Cust Fcst '!$C34*'Non-Residential TSM UC Adj'!W35</f>
        <v>0</v>
      </c>
      <c r="H34" s="57">
        <f>'Sch A6-TOU Cust Fcst '!$C34*'Non-Residential TSM UC Adj'!X35</f>
        <v>0</v>
      </c>
      <c r="I34" s="23">
        <f>IF(SUM(G34:H34)=0,0,SUM(G34:H34)/'Sch A6-TOU Cust Fcst '!C34)</f>
        <v>0</v>
      </c>
      <c r="J34" s="11"/>
      <c r="K34" s="25">
        <f t="shared" si="2"/>
        <v>0</v>
      </c>
      <c r="L34" s="25">
        <f t="shared" si="3"/>
        <v>0</v>
      </c>
      <c r="M34" s="41">
        <f>IF(SUM(K34:L34)=0,0,SUM(K34:L34)/'Sch A6-TOU Cust Fcst '!D34)</f>
        <v>0</v>
      </c>
    </row>
    <row r="35" spans="1:14" ht="13">
      <c r="A35" s="21" t="s">
        <v>26</v>
      </c>
      <c r="B35" s="21"/>
      <c r="C35" s="23">
        <f>'Sch A6-TOU Cust Fcst '!$B35*'Non-Residential TSM UC Adj'!S36</f>
        <v>0</v>
      </c>
      <c r="D35" s="23">
        <f>'Sch A6-TOU Cust Fcst '!$B35*'Non-Residential TSM UC Adj'!T36</f>
        <v>0</v>
      </c>
      <c r="E35" s="41">
        <f>IF(SUM(C35:D35)=0,0,SUM(C35:D35)/'Sch A6-TOU Cust Fcst '!B35)</f>
        <v>0</v>
      </c>
      <c r="F35" s="21"/>
      <c r="G35" s="57">
        <f>'Sch A6-TOU Cust Fcst '!$C35*'Non-Residential TSM UC Adj'!W36</f>
        <v>0</v>
      </c>
      <c r="H35" s="57">
        <f>'Sch A6-TOU Cust Fcst '!$C35*'Non-Residential TSM UC Adj'!X36</f>
        <v>0</v>
      </c>
      <c r="I35" s="23">
        <f>IF(SUM(G35:H35)=0,0,SUM(G35:H35)/'Sch A6-TOU Cust Fcst '!C35)</f>
        <v>0</v>
      </c>
      <c r="J35" s="11"/>
      <c r="K35" s="25">
        <f t="shared" si="2"/>
        <v>0</v>
      </c>
      <c r="L35" s="25">
        <f t="shared" si="3"/>
        <v>0</v>
      </c>
      <c r="M35" s="41">
        <f>IF(SUM(K35:L35)=0,0,SUM(K35:L35)/'Sch A6-TOU Cust Fcst '!D35)</f>
        <v>0</v>
      </c>
    </row>
    <row r="36" spans="1:14" ht="13">
      <c r="A36" s="21" t="s">
        <v>27</v>
      </c>
      <c r="B36" s="21"/>
      <c r="C36" s="23">
        <f>'Sch A6-TOU Cust Fcst '!$B36*'Non-Residential TSM UC Adj'!S37</f>
        <v>0</v>
      </c>
      <c r="D36" s="23">
        <f>'Sch A6-TOU Cust Fcst '!$B36*'Non-Residential TSM UC Adj'!T37</f>
        <v>0</v>
      </c>
      <c r="E36" s="41">
        <f>IF(SUM(C36:D36)=0,0,SUM(C36:D36)/'Sch A6-TOU Cust Fcst '!B36)</f>
        <v>0</v>
      </c>
      <c r="F36" s="21"/>
      <c r="G36" s="57">
        <f>'Sch A6-TOU Cust Fcst '!$C36*'Non-Residential TSM UC Adj'!W37</f>
        <v>0</v>
      </c>
      <c r="H36" s="57">
        <f>'Sch A6-TOU Cust Fcst '!$C36*'Non-Residential TSM UC Adj'!X37</f>
        <v>0</v>
      </c>
      <c r="I36" s="23">
        <f>IF(SUM(G36:H36)=0,0,SUM(G36:H36)/'Sch A6-TOU Cust Fcst '!C36)</f>
        <v>0</v>
      </c>
      <c r="J36" s="11"/>
      <c r="K36" s="25">
        <f t="shared" si="2"/>
        <v>0</v>
      </c>
      <c r="L36" s="25">
        <f t="shared" si="3"/>
        <v>0</v>
      </c>
      <c r="M36" s="41">
        <f>IF(SUM(K36:L36)=0,0,SUM(K36:L36)/'Sch A6-TOU Cust Fcst '!D36)</f>
        <v>0</v>
      </c>
    </row>
    <row r="37" spans="1:14" ht="13.5" thickBot="1">
      <c r="A37" s="244"/>
      <c r="B37" s="21"/>
      <c r="C37" s="23"/>
      <c r="D37" s="23"/>
      <c r="E37" s="41"/>
      <c r="F37" s="244"/>
      <c r="G37" s="173"/>
      <c r="H37" s="173"/>
      <c r="I37" s="173"/>
      <c r="J37" s="11"/>
      <c r="K37" s="25"/>
      <c r="L37" s="25"/>
      <c r="M37" s="41"/>
    </row>
    <row r="38" spans="1:14" ht="13.5" thickBot="1">
      <c r="A38" s="208" t="s">
        <v>2</v>
      </c>
      <c r="B38" s="208"/>
      <c r="C38" s="239">
        <f>IF(SUM(C$6:C$36)=0,0,SUM(C$6:C$36)/'Sch A6-TOU Cust Fcst '!$B38)</f>
        <v>3129.9273129422195</v>
      </c>
      <c r="D38" s="239">
        <f>IF(SUM(D$6:D$36)=0,0,SUM(D$6:D$36)/'Sch A6-TOU Cust Fcst '!$B38)</f>
        <v>967.82163835260417</v>
      </c>
      <c r="E38" s="240">
        <f>SUM(C38:D38)</f>
        <v>4097.7489512948232</v>
      </c>
      <c r="F38" s="208"/>
      <c r="G38" s="239">
        <f>IF(SUM(G$6:G$36)=0,0,SUM(G$6:G$36)/'Sch A6-TOU Cust Fcst '!$C38)</f>
        <v>0</v>
      </c>
      <c r="H38" s="239">
        <f>IF(SUM(H$6:H$36)=0,0,SUM(H$6:H$36)/'Sch A6-TOU Cust Fcst '!$C38)</f>
        <v>0</v>
      </c>
      <c r="I38" s="240">
        <f>SUM(G38:H38)</f>
        <v>0</v>
      </c>
      <c r="J38" s="208"/>
      <c r="K38" s="239">
        <f>IF(SUM(K$6:K$36)=0,0,SUM(K$6:K$36)/'Sch A6-TOU Cust Fcst '!$D38)</f>
        <v>3129.9273129422195</v>
      </c>
      <c r="L38" s="239">
        <f>IF(SUM(L$6:L$36)=0,0,SUM(L$6:L$36)/'Sch A6-TOU Cust Fcst '!$D38)</f>
        <v>967.82163835260417</v>
      </c>
      <c r="M38" s="240">
        <f>SUM(K38:L38)</f>
        <v>4097.7489512948232</v>
      </c>
    </row>
    <row r="39" spans="1:14" ht="13">
      <c r="A39" s="124" t="s">
        <v>141</v>
      </c>
      <c r="B39" s="21"/>
      <c r="C39" s="23">
        <f>IF(SUM(C$6:C$19)=0,0,SUM(C$6:C$19)/'Sch A6-TOU Cust Fcst '!$B39)</f>
        <v>0</v>
      </c>
      <c r="D39" s="23">
        <f>IF(SUM(D$6:D$19)=0,0,SUM(D$6:D$19)/'Sch A6-TOU Cust Fcst '!$B39)</f>
        <v>0</v>
      </c>
      <c r="E39" s="41">
        <f>SUM(C39:D39)</f>
        <v>0</v>
      </c>
      <c r="F39" s="21"/>
      <c r="G39" s="23">
        <f>IF(SUM(G$6:G$19)=0,0,SUM(G$6:G$19)/'Sch A6-TOU Cust Fcst '!$C39)</f>
        <v>0</v>
      </c>
      <c r="H39" s="23">
        <f>IF(SUM(H$6:H$19)=0,0,SUM(H$6:H$19)/'Sch A6-TOU Cust Fcst '!$C39)</f>
        <v>0</v>
      </c>
      <c r="I39" s="41">
        <f>SUM(G39:H39)</f>
        <v>0</v>
      </c>
      <c r="J39" s="21"/>
      <c r="K39" s="23">
        <f>IF(SUM(K$6:K$19)=0,0,SUM(K$6:K$19)/'Sch A6-TOU Cust Fcst '!$D39)</f>
        <v>0</v>
      </c>
      <c r="L39" s="23">
        <f>IF(SUM(L$6:L$19)=0,0,SUM(L$6:L$19)/'Sch A6-TOU Cust Fcst '!$D39)</f>
        <v>0</v>
      </c>
      <c r="M39" s="41">
        <f>SUM(K39:L39)</f>
        <v>0</v>
      </c>
    </row>
    <row r="40" spans="1:14" s="52" customFormat="1" ht="13">
      <c r="A40" s="124" t="s">
        <v>119</v>
      </c>
      <c r="B40" s="104"/>
      <c r="C40" s="23">
        <f>IF(SUM(C$20:C$33)=0,0,SUM(C$20:C$33)/'Sch A6-TOU Cust Fcst '!$B40)</f>
        <v>3129.9273129422195</v>
      </c>
      <c r="D40" s="23">
        <f>IF(SUM(D$20:D$33)=0,0,SUM(D$20:D$33)/'Sch A6-TOU Cust Fcst '!$B40)</f>
        <v>967.82163835260417</v>
      </c>
      <c r="E40" s="41">
        <f>SUM(C40:D40)</f>
        <v>4097.7489512948232</v>
      </c>
      <c r="F40" s="104"/>
      <c r="G40" s="23">
        <f>IF(SUM(G$20:G$33)=0,0,SUM(G$20:G$33)/'Sch A6-TOU Cust Fcst '!C40)</f>
        <v>0</v>
      </c>
      <c r="H40" s="23">
        <f>IF(SUM(H$20:H$33)=0,0,SUM(H$20:H$33)/'Sch A6-TOU Cust Fcst '!$C40)</f>
        <v>0</v>
      </c>
      <c r="I40" s="41">
        <f>SUM(G40:H40)</f>
        <v>0</v>
      </c>
      <c r="J40" s="104"/>
      <c r="K40" s="23">
        <f>IF(SUM(K$20:K$33)=0,0,SUM(K$20:K$33)/'Sch A6-TOU Cust Fcst '!D40)</f>
        <v>3129.9273129422195</v>
      </c>
      <c r="L40" s="23">
        <f>IF(SUM(L$20:L$33)=0,0,SUM(L$20:L$33)/'Sch A6-TOU Cust Fcst '!$D40)</f>
        <v>967.82163835260417</v>
      </c>
      <c r="M40" s="41">
        <f>SUM(K40:L40)</f>
        <v>4097.7489512948232</v>
      </c>
      <c r="N40" s="51"/>
    </row>
    <row r="41" spans="1:14" s="52" customFormat="1" ht="13.5" thickBot="1">
      <c r="A41" s="242" t="s">
        <v>85</v>
      </c>
      <c r="B41" s="214"/>
      <c r="C41" s="173">
        <f>IF(SUM(C$34:C$36)=0,0,SUM(C$34:C$36)/'Sch A6-TOU Cust Fcst '!$B41)</f>
        <v>0</v>
      </c>
      <c r="D41" s="173">
        <f>IF(SUM(D$34:D$36)=0,0,SUM(D$34:D$36)/'Sch A6-TOU Cust Fcst '!$B41)</f>
        <v>0</v>
      </c>
      <c r="E41" s="182">
        <f>SUM(C41:D41)</f>
        <v>0</v>
      </c>
      <c r="F41" s="214"/>
      <c r="G41" s="173">
        <f>IF(SUM(G$34:G$36)=0,0,SUM(G$34:G$36)/'Sch A6-TOU Cust Fcst '!$C41)</f>
        <v>0</v>
      </c>
      <c r="H41" s="173">
        <f>IF(SUM(H$34:H$36)=0,0,SUM(H$34:H$36)/'Sch A6-TOU Cust Fcst '!$C41)</f>
        <v>0</v>
      </c>
      <c r="I41" s="182">
        <f>SUM(G41:H41)</f>
        <v>0</v>
      </c>
      <c r="J41" s="214"/>
      <c r="K41" s="173">
        <f>IF(SUM(K$34:K$36)=0,0,SUM(K$34:K$36)/'Sch A6-TOU Cust Fcst '!$D41)</f>
        <v>0</v>
      </c>
      <c r="L41" s="173">
        <f>IF(SUM(L$34:L$36)=0,0,SUM(L$34:L$36)/'Sch A6-TOU Cust Fcst '!$D41)</f>
        <v>0</v>
      </c>
      <c r="M41" s="182">
        <f>SUM(K41:L41)</f>
        <v>0</v>
      </c>
    </row>
    <row r="42" spans="1:14">
      <c r="C42" s="18"/>
      <c r="D42" s="18"/>
      <c r="E42" s="18"/>
      <c r="G42" s="18"/>
      <c r="H42" s="18"/>
      <c r="I42" s="18"/>
      <c r="K42" s="18"/>
      <c r="L42" s="18"/>
      <c r="M42" s="18"/>
    </row>
    <row r="43" spans="1:14" ht="13">
      <c r="A43" s="261" t="s">
        <v>86</v>
      </c>
      <c r="C43" s="18"/>
      <c r="D43" s="18"/>
      <c r="E43" s="295">
        <f>IF(SUM(B6:D36)=0,0,SUM(B6:D36)/'Sch A6-TOU Cust Fcst '!B38)-E38</f>
        <v>0</v>
      </c>
      <c r="G43" s="18"/>
      <c r="H43" s="18"/>
      <c r="I43" s="295">
        <f>IF(SUM(F6:H36)=0,0,SUM(F6:H36)/'Sch A6-TOU Cust Fcst '!C38)-I38</f>
        <v>0</v>
      </c>
      <c r="K43" s="18"/>
      <c r="L43" s="18"/>
      <c r="M43" s="295">
        <f>IF(SUM(J6:L36)=0,0,SUM(J6:L36)/'Sch A6-TOU Cust Fcst '!D38)-M38</f>
        <v>0</v>
      </c>
    </row>
    <row r="44" spans="1:14" ht="13">
      <c r="E44" s="295">
        <f>IF(SUM(B6:D19)=0,0,SUM(B6:D19)/'Sch A6-TOU Cust Fcst '!B39)-E39</f>
        <v>0</v>
      </c>
      <c r="I44" s="295">
        <f>IF(SUM(F6:H19)=0,0,SUM(F6:H19)/'Sch A6-TOU Cust Fcst '!C39)-I39</f>
        <v>0</v>
      </c>
      <c r="M44" s="295">
        <f>IF(SUM(J6:L19)=0,0,SUM(J6:L19)/'Sch A6-TOU Cust Fcst '!D39)-M39</f>
        <v>0</v>
      </c>
    </row>
    <row r="45" spans="1:14" ht="13">
      <c r="E45" s="295">
        <f>IF(SUM(C20:D33)=0,0,SUM(C20:D33)/'Sch A6-TOU Cust Fcst '!B40)-E40</f>
        <v>0</v>
      </c>
      <c r="I45" s="295">
        <f>IF(SUM(G20:H33)=0,0,SUM(G20:H33)/'Sch A6-TOU Cust Fcst '!C40)-I40</f>
        <v>0</v>
      </c>
      <c r="M45" s="295">
        <f>IF(SUM(K20:L33)=0,0,SUM(K20:L33)/'Sch A6-TOU Cust Fcst '!D40)-M40</f>
        <v>0</v>
      </c>
    </row>
    <row r="46" spans="1:14" ht="13">
      <c r="E46" s="295">
        <f>IF(SUM(C34:D36)=0,0,SUM(C34:D36)/'Sch A6-TOU Cust Fcst '!B41)-E41</f>
        <v>0</v>
      </c>
      <c r="I46" s="295">
        <f>IF(SUM(G34:H36)=0,0,SUM(G34:H36)/'Sch A6-TOU Cust Fcst '!C41)-I41</f>
        <v>0</v>
      </c>
      <c r="M46" s="295">
        <f>IF(SUM(K34:L36)=0,0,SUM(K34:L36)/'Sch A6-TOU Cust Fcst '!D41)-M41</f>
        <v>0</v>
      </c>
    </row>
    <row r="50" spans="1:2">
      <c r="A50" s="19"/>
      <c r="B50" s="19"/>
    </row>
    <row r="62" spans="1:2">
      <c r="A62" s="19"/>
      <c r="B62" s="19"/>
    </row>
  </sheetData>
  <mergeCells count="4">
    <mergeCell ref="A1:E1"/>
    <mergeCell ref="F2:I2"/>
    <mergeCell ref="B2:E2"/>
    <mergeCell ref="J2:M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3">
    <tabColor rgb="FFFFC000"/>
    <pageSetUpPr fitToPage="1"/>
  </sheetPr>
  <dimension ref="A1:M56"/>
  <sheetViews>
    <sheetView zoomScaleNormal="100" workbookViewId="0">
      <selection activeCell="K31" sqref="K31:M31"/>
    </sheetView>
  </sheetViews>
  <sheetFormatPr defaultRowHeight="12.5"/>
  <cols>
    <col min="1" max="1" width="40.7265625" customWidth="1"/>
    <col min="2" max="2" width="13.7265625" bestFit="1" customWidth="1"/>
    <col min="3" max="3" width="17.1796875" bestFit="1" customWidth="1"/>
    <col min="4" max="4" width="8.81640625" style="12" bestFit="1" customWidth="1"/>
    <col min="5" max="5" width="14" style="12" bestFit="1" customWidth="1"/>
    <col min="6" max="6" width="15.1796875" style="12" bestFit="1" customWidth="1"/>
    <col min="7" max="7" width="17" style="12" customWidth="1"/>
    <col min="8" max="8" width="16.81640625" style="12" bestFit="1" customWidth="1"/>
    <col min="9" max="9" width="16.54296875" style="12" bestFit="1" customWidth="1"/>
    <col min="10" max="10" width="15.453125" bestFit="1" customWidth="1"/>
    <col min="11" max="11" width="16.54296875" customWidth="1"/>
    <col min="12" max="12" width="16.81640625" bestFit="1" customWidth="1"/>
    <col min="13" max="13" width="14.7265625" bestFit="1" customWidth="1"/>
  </cols>
  <sheetData>
    <row r="1" spans="1:13" ht="18.5" thickBot="1">
      <c r="A1" s="735" t="s">
        <v>138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03"/>
      <c r="B2" s="736" t="s">
        <v>1</v>
      </c>
      <c r="C2" s="737"/>
      <c r="D2" s="737"/>
      <c r="E2" s="738"/>
      <c r="F2" s="736" t="s">
        <v>84</v>
      </c>
      <c r="G2" s="737"/>
      <c r="H2" s="737"/>
      <c r="I2" s="738"/>
      <c r="J2" s="736" t="s">
        <v>121</v>
      </c>
      <c r="K2" s="737"/>
      <c r="L2" s="737"/>
      <c r="M2" s="738"/>
    </row>
    <row r="3" spans="1:13" ht="13.5" thickBot="1">
      <c r="A3" s="77" t="s">
        <v>47</v>
      </c>
      <c r="B3" s="298" t="s">
        <v>144</v>
      </c>
      <c r="C3" s="444" t="s">
        <v>119</v>
      </c>
      <c r="D3" s="444" t="s">
        <v>85</v>
      </c>
      <c r="E3" s="445" t="s">
        <v>129</v>
      </c>
      <c r="F3" s="298" t="s">
        <v>144</v>
      </c>
      <c r="G3" s="444" t="s">
        <v>119</v>
      </c>
      <c r="H3" s="444" t="s">
        <v>85</v>
      </c>
      <c r="I3" s="445" t="s">
        <v>153</v>
      </c>
      <c r="J3" s="298" t="s">
        <v>144</v>
      </c>
      <c r="K3" s="444" t="s">
        <v>119</v>
      </c>
      <c r="L3" s="444" t="s">
        <v>85</v>
      </c>
      <c r="M3" s="450" t="s">
        <v>2</v>
      </c>
    </row>
    <row r="4" spans="1:13" ht="13">
      <c r="A4" s="374"/>
      <c r="B4" s="3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 ht="13">
      <c r="A5" s="117"/>
      <c r="B5" s="36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 ht="13">
      <c r="A6" s="117" t="s">
        <v>49</v>
      </c>
      <c r="B6" s="36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 ht="13">
      <c r="A7" s="375"/>
      <c r="B7" s="37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 ht="13">
      <c r="A8" s="117" t="s">
        <v>53</v>
      </c>
      <c r="B8" s="115"/>
      <c r="C8" s="134">
        <f>'Sch A6-TOU TSM'!B40</f>
        <v>0</v>
      </c>
      <c r="D8" s="134"/>
      <c r="E8" s="44">
        <f>'Sch A6-TOU TSM'!B38</f>
        <v>0</v>
      </c>
      <c r="F8" s="115"/>
      <c r="G8" s="134"/>
      <c r="H8" s="134"/>
      <c r="I8" s="44"/>
      <c r="J8" s="115"/>
      <c r="K8" s="134">
        <f>'Sch A6-TOU TSM'!J40</f>
        <v>0</v>
      </c>
      <c r="L8" s="134"/>
      <c r="M8" s="44">
        <f>'Sch A6-TOU TSM'!J38</f>
        <v>0</v>
      </c>
    </row>
    <row r="9" spans="1:13" ht="13">
      <c r="A9" s="117" t="s">
        <v>51</v>
      </c>
      <c r="B9" s="115"/>
      <c r="C9" s="134">
        <f>'Sch A6-TOU TSM'!C40</f>
        <v>3129.9273129422195</v>
      </c>
      <c r="D9" s="134"/>
      <c r="E9" s="44">
        <f>'Sch A6-TOU TSM'!C38</f>
        <v>3129.9273129422195</v>
      </c>
      <c r="F9" s="115"/>
      <c r="G9" s="134"/>
      <c r="H9" s="134"/>
      <c r="I9" s="44"/>
      <c r="J9" s="115"/>
      <c r="K9" s="134">
        <f>'Sch A6-TOU TSM'!K40</f>
        <v>3129.9273129422195</v>
      </c>
      <c r="L9" s="134"/>
      <c r="M9" s="44">
        <f>'Sch A6-TOU TSM'!K38</f>
        <v>3129.9273129422195</v>
      </c>
    </row>
    <row r="10" spans="1:13" ht="13">
      <c r="A10" s="117" t="s">
        <v>52</v>
      </c>
      <c r="B10" s="115"/>
      <c r="C10" s="134">
        <f>'Sch A6-TOU TSM'!D40</f>
        <v>967.82163835260417</v>
      </c>
      <c r="D10" s="134"/>
      <c r="E10" s="44">
        <f>'Sch A6-TOU TSM'!D38</f>
        <v>967.82163835260417</v>
      </c>
      <c r="F10" s="115"/>
      <c r="G10" s="134"/>
      <c r="H10" s="134"/>
      <c r="I10" s="44"/>
      <c r="J10" s="115"/>
      <c r="K10" s="134">
        <f>'Sch A6-TOU TSM'!L40</f>
        <v>967.82163835260417</v>
      </c>
      <c r="L10" s="134"/>
      <c r="M10" s="44">
        <f>'Sch A6-TOU TSM'!L38</f>
        <v>967.82163835260417</v>
      </c>
    </row>
    <row r="11" spans="1:13" ht="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 ht="13">
      <c r="A12" s="117" t="s">
        <v>35</v>
      </c>
      <c r="B12" s="114"/>
      <c r="C12" s="30">
        <f>SUM(C8:C10)</f>
        <v>4097.7489512948232</v>
      </c>
      <c r="D12" s="30"/>
      <c r="E12" s="40">
        <f>SUM(E8:E10)</f>
        <v>4097.7489512948232</v>
      </c>
      <c r="F12" s="114"/>
      <c r="G12" s="30"/>
      <c r="H12" s="30"/>
      <c r="I12" s="40"/>
      <c r="J12" s="114"/>
      <c r="K12" s="30">
        <f t="shared" ref="K12:M12" si="0">SUM(K8:K10)</f>
        <v>4097.7489512948232</v>
      </c>
      <c r="L12" s="30"/>
      <c r="M12" s="40">
        <f t="shared" si="0"/>
        <v>4097.7489512948232</v>
      </c>
    </row>
    <row r="13" spans="1:13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 ht="13">
      <c r="A15" s="377">
        <f>Inputs!C3</f>
        <v>2.9094935671404847E-2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 ht="13">
      <c r="A17" s="47">
        <f>Inputs!C4</f>
        <v>1.99475E-2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 ht="13">
      <c r="A18" s="378" t="s">
        <v>92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/>
      <c r="H18" s="30"/>
      <c r="I18" s="40"/>
      <c r="J18" s="114"/>
      <c r="K18" s="30">
        <f t="shared" si="1"/>
        <v>0</v>
      </c>
      <c r="L18" s="30"/>
      <c r="M18" s="40">
        <f t="shared" si="1"/>
        <v>0</v>
      </c>
    </row>
    <row r="19" spans="1:13" ht="13">
      <c r="A19" s="378" t="s">
        <v>51</v>
      </c>
      <c r="B19" s="114"/>
      <c r="C19" s="30">
        <f t="shared" si="1"/>
        <v>3285.2430916056096</v>
      </c>
      <c r="D19" s="30"/>
      <c r="E19" s="40">
        <f t="shared" si="1"/>
        <v>3285.2430916056096</v>
      </c>
      <c r="F19" s="114"/>
      <c r="G19" s="30"/>
      <c r="H19" s="30"/>
      <c r="I19" s="40"/>
      <c r="J19" s="114"/>
      <c r="K19" s="30">
        <f t="shared" si="1"/>
        <v>3285.2430916056096</v>
      </c>
      <c r="L19" s="30"/>
      <c r="M19" s="40">
        <f t="shared" si="1"/>
        <v>3285.2430916056096</v>
      </c>
    </row>
    <row r="20" spans="1:13" ht="13">
      <c r="A20" s="378" t="s">
        <v>52</v>
      </c>
      <c r="B20" s="114"/>
      <c r="C20" s="30">
        <f t="shared" si="1"/>
        <v>1015.8476646269044</v>
      </c>
      <c r="D20" s="30"/>
      <c r="E20" s="40">
        <f t="shared" si="1"/>
        <v>1015.8476646269044</v>
      </c>
      <c r="F20" s="114"/>
      <c r="G20" s="30"/>
      <c r="H20" s="30"/>
      <c r="I20" s="40"/>
      <c r="J20" s="114"/>
      <c r="K20" s="30">
        <f t="shared" si="1"/>
        <v>1015.8476646269044</v>
      </c>
      <c r="L20" s="30"/>
      <c r="M20" s="40">
        <f t="shared" si="1"/>
        <v>1015.8476646269044</v>
      </c>
    </row>
    <row r="21" spans="1:13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 ht="13">
      <c r="A22" s="117" t="s">
        <v>35</v>
      </c>
      <c r="B22" s="119"/>
      <c r="C22" s="73">
        <f t="shared" ref="C22:M22" si="2">C18+C19+C20</f>
        <v>4301.0907562325137</v>
      </c>
      <c r="D22" s="73"/>
      <c r="E22" s="75">
        <f t="shared" si="2"/>
        <v>4301.0907562325137</v>
      </c>
      <c r="F22" s="119"/>
      <c r="G22" s="73"/>
      <c r="H22" s="73"/>
      <c r="I22" s="75"/>
      <c r="J22" s="119"/>
      <c r="K22" s="73">
        <f>K18+K19+K20</f>
        <v>4301.0907562325137</v>
      </c>
      <c r="L22" s="73"/>
      <c r="M22" s="75">
        <f t="shared" si="2"/>
        <v>4301.0907562325137</v>
      </c>
    </row>
    <row r="23" spans="1:13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 ht="13">
      <c r="A24" s="378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/>
      <c r="H24" s="73"/>
      <c r="I24" s="75"/>
      <c r="J24" s="119"/>
      <c r="K24" s="73">
        <f>K18*Inputs!$C$5</f>
        <v>0</v>
      </c>
      <c r="L24" s="73"/>
      <c r="M24" s="75">
        <f>M18*Inputs!$C$5</f>
        <v>0</v>
      </c>
    </row>
    <row r="25" spans="1:13" ht="13">
      <c r="A25" s="378" t="str">
        <f>'Resid TSM Sum by Rate Schedule'!A26</f>
        <v>Annualized Services Cost at 7.08%</v>
      </c>
      <c r="B25" s="119"/>
      <c r="C25" s="73">
        <f>C19*Inputs!$C$6</f>
        <v>232.51327673155672</v>
      </c>
      <c r="D25" s="73"/>
      <c r="E25" s="75">
        <f>E19*Inputs!$C$6</f>
        <v>232.51327673155672</v>
      </c>
      <c r="F25" s="119"/>
      <c r="G25" s="73"/>
      <c r="H25" s="73"/>
      <c r="I25" s="75"/>
      <c r="J25" s="119"/>
      <c r="K25" s="73">
        <f>K19*Inputs!$C$6</f>
        <v>232.51327673155672</v>
      </c>
      <c r="L25" s="73"/>
      <c r="M25" s="75">
        <f>M19*Inputs!$C$6</f>
        <v>232.51327673155672</v>
      </c>
    </row>
    <row r="26" spans="1:13" ht="16">
      <c r="A26" s="378" t="str">
        <f>'Resid TSM Sum by Rate Schedule'!A27</f>
        <v>Annualized Meter Cost at 10.78%</v>
      </c>
      <c r="B26" s="459"/>
      <c r="C26" s="458">
        <f>C20*Inputs!$C$7</f>
        <v>109.47429589376556</v>
      </c>
      <c r="D26" s="458"/>
      <c r="E26" s="457">
        <f>E20*Inputs!$C$7</f>
        <v>109.47429589376556</v>
      </c>
      <c r="F26" s="459"/>
      <c r="G26" s="458"/>
      <c r="H26" s="458"/>
      <c r="I26" s="457"/>
      <c r="J26" s="459"/>
      <c r="K26" s="458">
        <f>K20*Inputs!$C$7</f>
        <v>109.47429589376556</v>
      </c>
      <c r="L26" s="458"/>
      <c r="M26" s="457">
        <f>M20*Inputs!$C$7</f>
        <v>109.47429589376556</v>
      </c>
    </row>
    <row r="27" spans="1:13" ht="13">
      <c r="A27" s="453" t="s">
        <v>275</v>
      </c>
      <c r="B27" s="119"/>
      <c r="C27" s="73">
        <f t="shared" ref="C27:M27" si="3">SUM(C24:C26)</f>
        <v>341.98757262532229</v>
      </c>
      <c r="D27" s="73"/>
      <c r="E27" s="75">
        <f t="shared" si="3"/>
        <v>341.98757262532229</v>
      </c>
      <c r="F27" s="119"/>
      <c r="G27" s="73"/>
      <c r="H27" s="73"/>
      <c r="I27" s="75"/>
      <c r="J27" s="119"/>
      <c r="K27" s="73">
        <f t="shared" si="3"/>
        <v>341.98757262532229</v>
      </c>
      <c r="L27" s="73"/>
      <c r="M27" s="75">
        <f t="shared" si="3"/>
        <v>341.98757262532229</v>
      </c>
    </row>
    <row r="28" spans="1:13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 ht="13">
      <c r="A29" s="117" t="s">
        <v>50</v>
      </c>
      <c r="B29" s="114"/>
      <c r="C29" s="30">
        <f>'Distribution O&amp;M Allocations'!$X$20</f>
        <v>44.503002499429698</v>
      </c>
      <c r="D29" s="30"/>
      <c r="E29" s="30">
        <f>'Distribution O&amp;M Allocations'!$X$20</f>
        <v>44.503002499429698</v>
      </c>
      <c r="F29" s="114"/>
      <c r="G29" s="30"/>
      <c r="H29" s="30"/>
      <c r="I29" s="40"/>
      <c r="J29" s="114"/>
      <c r="K29" s="30">
        <f>C29</f>
        <v>44.503002499429698</v>
      </c>
      <c r="L29" s="30"/>
      <c r="M29" s="40">
        <f>E29</f>
        <v>44.503002499429698</v>
      </c>
    </row>
    <row r="30" spans="1:13" ht="13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</row>
    <row r="31" spans="1:13" ht="13">
      <c r="A31" s="117" t="s">
        <v>57</v>
      </c>
      <c r="B31" s="161"/>
      <c r="C31" s="718">
        <v>447.86258547437507</v>
      </c>
      <c r="D31" s="718"/>
      <c r="E31" s="720">
        <v>447.86258547437507</v>
      </c>
      <c r="F31" s="161"/>
      <c r="G31" s="162"/>
      <c r="H31" s="162"/>
      <c r="I31" s="290"/>
      <c r="J31" s="161"/>
      <c r="K31" s="718">
        <v>447.86258547437507</v>
      </c>
      <c r="L31" s="718"/>
      <c r="M31" s="720">
        <v>447.86258547437507</v>
      </c>
    </row>
    <row r="32" spans="1:13" ht="13.5" thickBot="1">
      <c r="A32" s="12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79" t="s">
        <v>126</v>
      </c>
      <c r="B33" s="280"/>
      <c r="C33" s="280">
        <f t="shared" ref="C33:M33" si="4">C27+C29+C31</f>
        <v>834.35316059912702</v>
      </c>
      <c r="D33" s="280"/>
      <c r="E33" s="291">
        <f t="shared" si="4"/>
        <v>834.35316059912702</v>
      </c>
      <c r="F33" s="280"/>
      <c r="G33" s="280"/>
      <c r="H33" s="280"/>
      <c r="I33" s="280"/>
      <c r="J33" s="279"/>
      <c r="K33" s="280">
        <f>K27+K29+K31</f>
        <v>834.35316059912702</v>
      </c>
      <c r="L33" s="280"/>
      <c r="M33" s="291">
        <f t="shared" si="4"/>
        <v>834.35316059912702</v>
      </c>
    </row>
    <row r="34" spans="1:13">
      <c r="C34" s="18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  <c r="B44" s="19"/>
    </row>
    <row r="56" spans="1:2">
      <c r="A56" s="19"/>
      <c r="B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D45"/>
  <sheetViews>
    <sheetView zoomScaleNormal="100" workbookViewId="0">
      <selection activeCell="B1" sqref="B1"/>
    </sheetView>
  </sheetViews>
  <sheetFormatPr defaultRowHeight="12.5"/>
  <cols>
    <col min="2" max="2" width="70.54296875" customWidth="1"/>
    <col min="3" max="3" width="34.26953125" customWidth="1"/>
    <col min="4" max="4" width="9.1796875" style="165"/>
  </cols>
  <sheetData>
    <row r="1" spans="2:4" s="60" customFormat="1" ht="13">
      <c r="B1" s="59"/>
      <c r="D1" s="163"/>
    </row>
    <row r="2" spans="2:4" s="60" customFormat="1" ht="13.5" thickBot="1">
      <c r="B2" s="62" t="s">
        <v>65</v>
      </c>
      <c r="C2" s="63"/>
      <c r="D2" s="163"/>
    </row>
    <row r="3" spans="2:4" s="60" customFormat="1" ht="13">
      <c r="B3" s="100" t="s">
        <v>268</v>
      </c>
      <c r="C3" s="416">
        <v>2.9094935671404847E-2</v>
      </c>
      <c r="D3" s="164"/>
    </row>
    <row r="4" spans="2:4" s="60" customFormat="1" ht="13">
      <c r="B4" s="29" t="s">
        <v>331</v>
      </c>
      <c r="C4" s="563">
        <v>1.99475E-2</v>
      </c>
      <c r="D4" s="164"/>
    </row>
    <row r="5" spans="2:4" s="60" customFormat="1" ht="13">
      <c r="B5" s="123" t="s">
        <v>421</v>
      </c>
      <c r="C5" s="470">
        <v>8.047866253352963E-2</v>
      </c>
      <c r="D5" s="164"/>
    </row>
    <row r="6" spans="2:4" s="60" customFormat="1" ht="13">
      <c r="B6" s="123" t="s">
        <v>273</v>
      </c>
      <c r="C6" s="470">
        <v>7.0775059941734664E-2</v>
      </c>
      <c r="D6" s="164"/>
    </row>
    <row r="7" spans="2:4" s="60" customFormat="1" ht="13">
      <c r="B7" s="123" t="s">
        <v>274</v>
      </c>
      <c r="C7" s="470">
        <v>0.1077664493464901</v>
      </c>
      <c r="D7" s="164"/>
    </row>
    <row r="8" spans="2:4" s="60" customFormat="1" ht="13.5" thickBot="1">
      <c r="B8" s="471" t="s">
        <v>272</v>
      </c>
      <c r="C8" s="472">
        <v>0.39228522523278636</v>
      </c>
      <c r="D8" s="164"/>
    </row>
    <row r="9" spans="2:4" s="60" customFormat="1">
      <c r="C9" s="406"/>
      <c r="D9" s="163"/>
    </row>
    <row r="10" spans="2:4" s="60" customFormat="1" ht="13.5" thickBot="1">
      <c r="B10" s="64" t="s">
        <v>64</v>
      </c>
      <c r="C10" s="407"/>
      <c r="D10" s="163"/>
    </row>
    <row r="11" spans="2:4" s="60" customFormat="1">
      <c r="B11" s="61"/>
      <c r="C11" s="417"/>
      <c r="D11" s="163"/>
    </row>
    <row r="12" spans="2:4" s="60" customFormat="1" ht="13">
      <c r="B12" s="29" t="s">
        <v>281</v>
      </c>
      <c r="C12" s="418">
        <v>1.085144063993809</v>
      </c>
      <c r="D12" s="164"/>
    </row>
    <row r="13" spans="2:4" s="60" customFormat="1" ht="13">
      <c r="B13" s="29" t="s">
        <v>282</v>
      </c>
      <c r="C13" s="418">
        <v>1.0535477337285415</v>
      </c>
      <c r="D13" s="164"/>
    </row>
    <row r="14" spans="2:4" s="60" customFormat="1" ht="13.5" thickBot="1">
      <c r="B14" s="72" t="s">
        <v>283</v>
      </c>
      <c r="C14" s="419">
        <v>1.0752188869568078</v>
      </c>
      <c r="D14" s="164"/>
    </row>
    <row r="15" spans="2:4" s="60" customFormat="1" ht="13.5" thickBot="1">
      <c r="B15" s="167"/>
      <c r="C15" s="451"/>
      <c r="D15" s="164"/>
    </row>
    <row r="16" spans="2:4" s="60" customFormat="1" ht="13">
      <c r="B16" s="473" t="s">
        <v>284</v>
      </c>
      <c r="C16" s="554">
        <v>4489781.140500363</v>
      </c>
      <c r="D16" s="164"/>
    </row>
    <row r="17" spans="1:4" s="60" customFormat="1" ht="13">
      <c r="B17" s="123" t="s">
        <v>285</v>
      </c>
      <c r="C17" s="723">
        <v>1482557.75</v>
      </c>
      <c r="D17" s="164"/>
    </row>
    <row r="18" spans="1:4" s="60" customFormat="1" ht="13.5" thickBot="1">
      <c r="B18" s="471" t="s">
        <v>286</v>
      </c>
      <c r="C18" s="712">
        <f>C16/C17</f>
        <v>3.0284021924274875</v>
      </c>
      <c r="D18" s="164"/>
    </row>
    <row r="19" spans="1:4" s="60" customFormat="1" ht="13.5" thickBot="1">
      <c r="B19" s="174"/>
      <c r="C19" s="553"/>
      <c r="D19" s="164"/>
    </row>
    <row r="20" spans="1:4" s="60" customFormat="1" ht="13">
      <c r="B20" s="473" t="s">
        <v>404</v>
      </c>
      <c r="C20" s="554">
        <f>3241</f>
        <v>3241</v>
      </c>
      <c r="D20" s="164"/>
    </row>
    <row r="21" spans="1:4" s="60" customFormat="1" ht="13.5" thickBot="1">
      <c r="B21" s="471" t="s">
        <v>406</v>
      </c>
      <c r="C21" s="555">
        <v>0.80862720124374765</v>
      </c>
      <c r="D21" s="164"/>
    </row>
    <row r="22" spans="1:4" s="60" customFormat="1" ht="13">
      <c r="B22" s="174"/>
      <c r="C22" s="553"/>
      <c r="D22" s="164"/>
    </row>
    <row r="23" spans="1:4" s="60" customFormat="1" ht="13">
      <c r="B23" s="167"/>
      <c r="C23" s="99"/>
      <c r="D23" s="164"/>
    </row>
    <row r="24" spans="1:4" s="60" customFormat="1" ht="13">
      <c r="A24" s="66" t="s">
        <v>271</v>
      </c>
      <c r="C24" s="99"/>
      <c r="D24" s="164"/>
    </row>
    <row r="25" spans="1:4" ht="13">
      <c r="B25" s="405" t="s">
        <v>449</v>
      </c>
      <c r="C25" s="52"/>
    </row>
    <row r="26" spans="1:4" ht="13">
      <c r="B26" s="405" t="s">
        <v>412</v>
      </c>
      <c r="C26" s="52"/>
    </row>
    <row r="27" spans="1:4">
      <c r="B27" s="405" t="s">
        <v>450</v>
      </c>
      <c r="C27" s="52"/>
    </row>
    <row r="28" spans="1:4">
      <c r="B28" s="405" t="s">
        <v>451</v>
      </c>
      <c r="C28" s="52"/>
    </row>
    <row r="29" spans="1:4">
      <c r="B29" s="725" t="s">
        <v>452</v>
      </c>
    </row>
    <row r="30" spans="1:4" ht="13">
      <c r="B30" s="405" t="s">
        <v>413</v>
      </c>
    </row>
    <row r="31" spans="1:4" ht="13">
      <c r="B31" s="520" t="s">
        <v>453</v>
      </c>
    </row>
    <row r="32" spans="1:4">
      <c r="B32" s="405" t="s">
        <v>278</v>
      </c>
    </row>
    <row r="33" spans="2:4" ht="13">
      <c r="B33" s="58" t="s">
        <v>414</v>
      </c>
    </row>
    <row r="34" spans="2:4">
      <c r="B34" s="58" t="s">
        <v>280</v>
      </c>
      <c r="C34" s="52"/>
      <c r="D34"/>
    </row>
    <row r="35" spans="2:4" ht="13">
      <c r="B35" s="58" t="s">
        <v>415</v>
      </c>
      <c r="C35" s="52"/>
      <c r="D35"/>
    </row>
    <row r="36" spans="2:4">
      <c r="B36" s="58" t="s">
        <v>280</v>
      </c>
      <c r="C36" s="52"/>
      <c r="D36"/>
    </row>
    <row r="37" spans="2:4" ht="13">
      <c r="B37" s="58" t="s">
        <v>416</v>
      </c>
      <c r="C37" s="52"/>
      <c r="D37"/>
    </row>
    <row r="38" spans="2:4">
      <c r="B38" s="58" t="s">
        <v>279</v>
      </c>
      <c r="C38" s="52"/>
      <c r="D38"/>
    </row>
    <row r="39" spans="2:4" ht="13">
      <c r="B39" s="431" t="s">
        <v>417</v>
      </c>
      <c r="C39" s="52"/>
      <c r="D39"/>
    </row>
    <row r="40" spans="2:4">
      <c r="B40" s="431" t="s">
        <v>324</v>
      </c>
      <c r="D40"/>
    </row>
    <row r="41" spans="2:4">
      <c r="B41" s="431" t="s">
        <v>326</v>
      </c>
    </row>
    <row r="42" spans="2:4">
      <c r="B42" s="431" t="s">
        <v>325</v>
      </c>
    </row>
    <row r="43" spans="2:4" ht="13">
      <c r="B43" s="431" t="s">
        <v>418</v>
      </c>
    </row>
    <row r="44" spans="2:4">
      <c r="B44" s="431" t="s">
        <v>405</v>
      </c>
    </row>
    <row r="45" spans="2:4">
      <c r="B45" s="431" t="s">
        <v>419</v>
      </c>
    </row>
  </sheetData>
  <phoneticPr fontId="4" type="noConversion"/>
  <printOptions horizontalCentered="1"/>
  <pageMargins left="0.75" right="0.75" top="1" bottom="1" header="0.5" footer="0.5"/>
  <pageSetup scale="80" orientation="portrait" r:id="rId1"/>
  <headerFooter alignWithMargins="0">
    <oddFooter>&amp;L&amp;F
&amp;A&amp;R&amp;P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4">
    <tabColor rgb="FFFFC000"/>
    <pageSetUpPr fitToPage="1"/>
  </sheetPr>
  <dimension ref="A1:M58"/>
  <sheetViews>
    <sheetView topLeftCell="B3" zoomScaleNormal="100" workbookViewId="0">
      <selection activeCell="L20" sqref="L20"/>
    </sheetView>
  </sheetViews>
  <sheetFormatPr defaultRowHeight="12.5"/>
  <cols>
    <col min="1" max="1" width="40.7265625" customWidth="1"/>
    <col min="2" max="2" width="14" bestFit="1" customWidth="1"/>
    <col min="3" max="3" width="17" customWidth="1"/>
    <col min="4" max="4" width="10.453125" style="12" bestFit="1" customWidth="1"/>
    <col min="5" max="5" width="13.453125" style="12" bestFit="1" customWidth="1"/>
    <col min="6" max="6" width="15.1796875" style="12" bestFit="1" customWidth="1"/>
    <col min="7" max="7" width="17" style="12" customWidth="1"/>
    <col min="8" max="8" width="16.54296875" style="12" bestFit="1" customWidth="1"/>
    <col min="9" max="9" width="16.26953125" style="12" bestFit="1" customWidth="1"/>
    <col min="10" max="10" width="14.81640625" bestFit="1" customWidth="1"/>
    <col min="11" max="11" width="17" customWidth="1"/>
    <col min="12" max="12" width="16.54296875" bestFit="1" customWidth="1"/>
    <col min="13" max="13" width="14.81640625" bestFit="1" customWidth="1"/>
  </cols>
  <sheetData>
    <row r="1" spans="1:13" ht="18.5" thickBot="1">
      <c r="A1" s="735" t="s">
        <v>294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294"/>
      <c r="B2" s="736" t="s">
        <v>1</v>
      </c>
      <c r="C2" s="737"/>
      <c r="D2" s="737"/>
      <c r="E2" s="738"/>
      <c r="F2" s="736" t="s">
        <v>84</v>
      </c>
      <c r="G2" s="737"/>
      <c r="H2" s="737"/>
      <c r="I2" s="738"/>
      <c r="J2" s="736" t="s">
        <v>121</v>
      </c>
      <c r="K2" s="737"/>
      <c r="L2" s="737"/>
      <c r="M2" s="738"/>
    </row>
    <row r="3" spans="1:13" ht="13.5" thickBot="1">
      <c r="A3" s="292" t="s">
        <v>47</v>
      </c>
      <c r="B3" s="298" t="s">
        <v>144</v>
      </c>
      <c r="C3" s="444" t="s">
        <v>119</v>
      </c>
      <c r="D3" s="444" t="s">
        <v>85</v>
      </c>
      <c r="E3" s="445" t="s">
        <v>129</v>
      </c>
      <c r="F3" s="298" t="s">
        <v>144</v>
      </c>
      <c r="G3" s="444" t="s">
        <v>119</v>
      </c>
      <c r="H3" s="444" t="s">
        <v>85</v>
      </c>
      <c r="I3" s="445" t="s">
        <v>190</v>
      </c>
      <c r="J3" s="298" t="s">
        <v>144</v>
      </c>
      <c r="K3" s="444" t="s">
        <v>119</v>
      </c>
      <c r="L3" s="444" t="s">
        <v>85</v>
      </c>
      <c r="M3" s="445" t="s">
        <v>2</v>
      </c>
    </row>
    <row r="4" spans="1:13" ht="13">
      <c r="A4" s="35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 ht="13">
      <c r="A5" s="36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 ht="13">
      <c r="A6" s="36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 ht="13">
      <c r="A7" s="37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 ht="13">
      <c r="A8" s="36" t="s">
        <v>53</v>
      </c>
      <c r="B8" s="115"/>
      <c r="C8" s="134">
        <f>'Sch A6-TOU TSM Summary'!C8*Inputs!$C$12</f>
        <v>0</v>
      </c>
      <c r="D8" s="134"/>
      <c r="E8" s="44">
        <f>'Sch A6-TOU TSM Summary'!E8*Inputs!$C$12</f>
        <v>0</v>
      </c>
      <c r="F8" s="115"/>
      <c r="G8" s="134">
        <f>'Sch A6-TOU TSM Summary'!G8*Inputs!$C$12</f>
        <v>0</v>
      </c>
      <c r="H8" s="134">
        <f>'Sch A6-TOU TSM Summary'!H8*Inputs!$C$12</f>
        <v>0</v>
      </c>
      <c r="I8" s="44">
        <f>'Sch A6-TOU TSM Summary'!I8*Inputs!$C$12</f>
        <v>0</v>
      </c>
      <c r="J8" s="115"/>
      <c r="K8" s="134">
        <f>'Sch A6-TOU TSM Summary'!K8*Inputs!$C$12</f>
        <v>0</v>
      </c>
      <c r="L8" s="134">
        <f>'Sch A6-TOU TSM Summary'!L8*Inputs!$C$12</f>
        <v>0</v>
      </c>
      <c r="M8" s="44">
        <f>'Sch A6-TOU TSM Summary'!M8*Inputs!$C$12</f>
        <v>0</v>
      </c>
    </row>
    <row r="9" spans="1:13" ht="13">
      <c r="A9" s="36" t="s">
        <v>51</v>
      </c>
      <c r="B9" s="115"/>
      <c r="C9" s="134">
        <f>'Sch A6-TOU TSM Summary'!C9*Inputs!$C$12</f>
        <v>3396.4220443713425</v>
      </c>
      <c r="D9" s="134"/>
      <c r="E9" s="44">
        <f>'Sch A6-TOU TSM Summary'!E9*Inputs!$C$12</f>
        <v>3396.4220443713425</v>
      </c>
      <c r="F9" s="115"/>
      <c r="G9" s="134">
        <f>'Sch A6-TOU TSM Summary'!G9*Inputs!$C$12</f>
        <v>0</v>
      </c>
      <c r="H9" s="134">
        <f>'Sch A6-TOU TSM Summary'!H9*Inputs!$C$12</f>
        <v>0</v>
      </c>
      <c r="I9" s="44">
        <f>'Sch A6-TOU TSM Summary'!I9*Inputs!$C$12</f>
        <v>0</v>
      </c>
      <c r="J9" s="115"/>
      <c r="K9" s="134">
        <f>'Sch A6-TOU TSM Summary'!K9*Inputs!$C$12</f>
        <v>3396.4220443713425</v>
      </c>
      <c r="L9" s="134">
        <f>'Sch A6-TOU TSM Summary'!L9*Inputs!$C$12</f>
        <v>0</v>
      </c>
      <c r="M9" s="44">
        <f>'Sch A6-TOU TSM Summary'!M9*Inputs!$C$12</f>
        <v>3396.4220443713425</v>
      </c>
    </row>
    <row r="10" spans="1:13" ht="13">
      <c r="A10" s="36" t="s">
        <v>52</v>
      </c>
      <c r="B10" s="115"/>
      <c r="C10" s="134">
        <f>'Sch A6-TOU TSM Summary'!C10*Inputs!$C$12</f>
        <v>1050.2259058630914</v>
      </c>
      <c r="D10" s="134"/>
      <c r="E10" s="44">
        <f>'Sch A6-TOU TSM Summary'!E10*Inputs!$C$12</f>
        <v>1050.2259058630914</v>
      </c>
      <c r="F10" s="115"/>
      <c r="G10" s="134">
        <f>'Sch A6-TOU TSM Summary'!G10*Inputs!$C$12</f>
        <v>0</v>
      </c>
      <c r="H10" s="134">
        <f>'Sch A6-TOU TSM Summary'!H10*Inputs!$C$12</f>
        <v>0</v>
      </c>
      <c r="I10" s="44">
        <f>'Sch A6-TOU TSM Summary'!I10*Inputs!$C$12</f>
        <v>0</v>
      </c>
      <c r="J10" s="115"/>
      <c r="K10" s="134">
        <f>'Sch A6-TOU TSM Summary'!K10*Inputs!$C$12</f>
        <v>1050.2259058630914</v>
      </c>
      <c r="L10" s="134">
        <f>'Sch A6-TOU TSM Summary'!L10*Inputs!$C$12</f>
        <v>0</v>
      </c>
      <c r="M10" s="44">
        <f>'Sch A6-TOU TSM Summary'!M10*Inputs!$C$12</f>
        <v>1050.2259058630914</v>
      </c>
    </row>
    <row r="11" spans="1:13" ht="13">
      <c r="A11" s="38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 ht="13">
      <c r="A12" s="36" t="s">
        <v>35</v>
      </c>
      <c r="B12" s="114"/>
      <c r="C12" s="30">
        <f t="shared" ref="C12:M12" si="0">SUM(C8:C10)</f>
        <v>4446.6479502344337</v>
      </c>
      <c r="D12" s="30"/>
      <c r="E12" s="40">
        <f t="shared" si="0"/>
        <v>4446.6479502344337</v>
      </c>
      <c r="F12" s="114"/>
      <c r="G12" s="30">
        <f t="shared" si="0"/>
        <v>0</v>
      </c>
      <c r="H12" s="30">
        <f t="shared" si="0"/>
        <v>0</v>
      </c>
      <c r="I12" s="40">
        <f t="shared" si="0"/>
        <v>0</v>
      </c>
      <c r="J12" s="114"/>
      <c r="K12" s="30">
        <f t="shared" si="0"/>
        <v>4446.6479502344337</v>
      </c>
      <c r="L12" s="30">
        <f t="shared" si="0"/>
        <v>0</v>
      </c>
      <c r="M12" s="40">
        <f t="shared" si="0"/>
        <v>4446.6479502344337</v>
      </c>
    </row>
    <row r="13" spans="1:13" ht="13">
      <c r="A13" s="38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 ht="13">
      <c r="A14" s="36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 ht="13">
      <c r="A15" s="47">
        <f>Inputs!C3</f>
        <v>2.9094935671404847E-2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 ht="13">
      <c r="A17" s="47">
        <f>Inputs!C4</f>
        <v>1.99475E-2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 ht="13">
      <c r="A18" s="94" t="s">
        <v>92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>
        <f t="shared" si="1"/>
        <v>0</v>
      </c>
      <c r="H18" s="30">
        <f t="shared" si="1"/>
        <v>0</v>
      </c>
      <c r="I18" s="40">
        <f t="shared" si="1"/>
        <v>0</v>
      </c>
      <c r="J18" s="114"/>
      <c r="K18" s="30">
        <f t="shared" si="1"/>
        <v>0</v>
      </c>
      <c r="L18" s="30">
        <f t="shared" si="1"/>
        <v>0</v>
      </c>
      <c r="M18" s="40">
        <f t="shared" si="1"/>
        <v>0</v>
      </c>
    </row>
    <row r="19" spans="1:13" ht="13">
      <c r="A19" s="94" t="s">
        <v>51</v>
      </c>
      <c r="B19" s="114"/>
      <c r="C19" s="30">
        <f t="shared" si="1"/>
        <v>3564.9620396324967</v>
      </c>
      <c r="D19" s="30"/>
      <c r="E19" s="40">
        <f t="shared" si="1"/>
        <v>3564.9620396324967</v>
      </c>
      <c r="F19" s="114"/>
      <c r="G19" s="30">
        <f t="shared" si="1"/>
        <v>0</v>
      </c>
      <c r="H19" s="30">
        <f t="shared" si="1"/>
        <v>0</v>
      </c>
      <c r="I19" s="40">
        <f t="shared" si="1"/>
        <v>0</v>
      </c>
      <c r="J19" s="114"/>
      <c r="K19" s="30">
        <f t="shared" si="1"/>
        <v>3564.9620396324967</v>
      </c>
      <c r="L19" s="30">
        <f t="shared" si="1"/>
        <v>0</v>
      </c>
      <c r="M19" s="40">
        <f t="shared" si="1"/>
        <v>3564.9620396324967</v>
      </c>
    </row>
    <row r="20" spans="1:13" ht="13">
      <c r="A20" s="94" t="s">
        <v>52</v>
      </c>
      <c r="B20" s="114"/>
      <c r="C20" s="30">
        <f t="shared" si="1"/>
        <v>1102.3410631918591</v>
      </c>
      <c r="D20" s="30"/>
      <c r="E20" s="40">
        <f t="shared" si="1"/>
        <v>1102.3410631918591</v>
      </c>
      <c r="F20" s="114"/>
      <c r="G20" s="30">
        <f t="shared" si="1"/>
        <v>0</v>
      </c>
      <c r="H20" s="30">
        <f t="shared" si="1"/>
        <v>0</v>
      </c>
      <c r="I20" s="40">
        <f t="shared" si="1"/>
        <v>0</v>
      </c>
      <c r="J20" s="114"/>
      <c r="K20" s="30">
        <f t="shared" si="1"/>
        <v>1102.3410631918591</v>
      </c>
      <c r="L20" s="30">
        <f t="shared" si="1"/>
        <v>0</v>
      </c>
      <c r="M20" s="40">
        <f t="shared" si="1"/>
        <v>1102.3410631918591</v>
      </c>
    </row>
    <row r="21" spans="1:13" ht="13">
      <c r="A21" s="36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 ht="13">
      <c r="A22" s="36" t="s">
        <v>35</v>
      </c>
      <c r="B22" s="119"/>
      <c r="C22" s="73">
        <f t="shared" ref="C22:M22" si="2">C18+C19+C20</f>
        <v>4667.3031028243558</v>
      </c>
      <c r="D22" s="73"/>
      <c r="E22" s="75">
        <f t="shared" si="2"/>
        <v>4667.3031028243558</v>
      </c>
      <c r="F22" s="119"/>
      <c r="G22" s="73">
        <f t="shared" si="2"/>
        <v>0</v>
      </c>
      <c r="H22" s="73">
        <f t="shared" si="2"/>
        <v>0</v>
      </c>
      <c r="I22" s="75">
        <f t="shared" si="2"/>
        <v>0</v>
      </c>
      <c r="J22" s="119"/>
      <c r="K22" s="73">
        <f t="shared" si="2"/>
        <v>4667.3031028243558</v>
      </c>
      <c r="L22" s="73">
        <f t="shared" si="2"/>
        <v>0</v>
      </c>
      <c r="M22" s="75">
        <f t="shared" si="2"/>
        <v>4667.3031028243558</v>
      </c>
    </row>
    <row r="23" spans="1:13" ht="13">
      <c r="A23" s="36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 ht="13">
      <c r="A24" s="378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>
        <f>G18*Inputs!$C$5</f>
        <v>0</v>
      </c>
      <c r="H24" s="73">
        <f>H18*Inputs!$C$5</f>
        <v>0</v>
      </c>
      <c r="I24" s="75">
        <f>I18*Inputs!$C$5</f>
        <v>0</v>
      </c>
      <c r="J24" s="119"/>
      <c r="K24" s="73">
        <f>K18*Inputs!$C$5</f>
        <v>0</v>
      </c>
      <c r="L24" s="73">
        <f>L18*Inputs!$C$5</f>
        <v>0</v>
      </c>
      <c r="M24" s="75">
        <f>M18*Inputs!$C$5</f>
        <v>0</v>
      </c>
    </row>
    <row r="25" spans="1:13" ht="13">
      <c r="A25" s="378" t="str">
        <f>'Resid TSM Sum by Rate Schedule'!A26</f>
        <v>Annualized Services Cost at 7.08%</v>
      </c>
      <c r="B25" s="119"/>
      <c r="C25" s="73">
        <f>C19*Inputs!$C$6</f>
        <v>252.31040204499863</v>
      </c>
      <c r="D25" s="73"/>
      <c r="E25" s="75">
        <f>E19*Inputs!$C$6</f>
        <v>252.31040204499863</v>
      </c>
      <c r="F25" s="119"/>
      <c r="G25" s="73">
        <f>G19*Inputs!$C$6</f>
        <v>0</v>
      </c>
      <c r="H25" s="73">
        <f>H19*Inputs!$C$6</f>
        <v>0</v>
      </c>
      <c r="I25" s="75">
        <f>I19*Inputs!$C$6</f>
        <v>0</v>
      </c>
      <c r="J25" s="119"/>
      <c r="K25" s="73">
        <f>K19*Inputs!$C$6</f>
        <v>252.31040204499863</v>
      </c>
      <c r="L25" s="73">
        <f>L19*Inputs!$C$6</f>
        <v>0</v>
      </c>
      <c r="M25" s="75">
        <f>M19*Inputs!$C$6</f>
        <v>252.31040204499863</v>
      </c>
    </row>
    <row r="26" spans="1:13" ht="16">
      <c r="A26" s="378" t="str">
        <f>'Resid TSM Sum by Rate Schedule'!A27</f>
        <v>Annualized Meter Cost at 10.78%</v>
      </c>
      <c r="B26" s="459"/>
      <c r="C26" s="458">
        <f>C20*Inputs!$C$7</f>
        <v>118.79538234902152</v>
      </c>
      <c r="D26" s="458"/>
      <c r="E26" s="457">
        <f>E20*Inputs!$C$7</f>
        <v>118.79538234902152</v>
      </c>
      <c r="F26" s="459"/>
      <c r="G26" s="458">
        <f>G20*Inputs!$C$7</f>
        <v>0</v>
      </c>
      <c r="H26" s="458">
        <f>H20*Inputs!$C$7</f>
        <v>0</v>
      </c>
      <c r="I26" s="457">
        <f>I20*Inputs!$C$7</f>
        <v>0</v>
      </c>
      <c r="J26" s="459"/>
      <c r="K26" s="458">
        <f>K20*Inputs!$C$7</f>
        <v>118.79538234902152</v>
      </c>
      <c r="L26" s="458">
        <f>L20*Inputs!$C$7</f>
        <v>0</v>
      </c>
      <c r="M26" s="457">
        <f>M20*Inputs!$C$7</f>
        <v>118.79538234902152</v>
      </c>
    </row>
    <row r="27" spans="1:13" ht="13">
      <c r="A27" s="86" t="s">
        <v>275</v>
      </c>
      <c r="B27" s="119"/>
      <c r="C27" s="73">
        <f t="shared" ref="C27:M27" si="3">SUM(C24:C26)</f>
        <v>371.10578439402013</v>
      </c>
      <c r="D27" s="73"/>
      <c r="E27" s="75">
        <f t="shared" si="3"/>
        <v>371.10578439402013</v>
      </c>
      <c r="F27" s="119"/>
      <c r="G27" s="73">
        <f t="shared" si="3"/>
        <v>0</v>
      </c>
      <c r="H27" s="73">
        <f t="shared" si="3"/>
        <v>0</v>
      </c>
      <c r="I27" s="75">
        <f t="shared" si="3"/>
        <v>0</v>
      </c>
      <c r="J27" s="119"/>
      <c r="K27" s="73">
        <f t="shared" si="3"/>
        <v>371.10578439402013</v>
      </c>
      <c r="L27" s="73">
        <f t="shared" si="3"/>
        <v>0</v>
      </c>
      <c r="M27" s="75">
        <f t="shared" si="3"/>
        <v>371.10578439402013</v>
      </c>
    </row>
    <row r="28" spans="1:13" ht="13">
      <c r="A28" s="4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 ht="13">
      <c r="A29" s="36" t="s">
        <v>50</v>
      </c>
      <c r="B29" s="114"/>
      <c r="C29" s="30">
        <f>'Sch A6-TOU TSM Summary'!C$29*Inputs!$C$13</f>
        <v>46.886037427389773</v>
      </c>
      <c r="D29" s="30"/>
      <c r="E29" s="40">
        <f>'Sch A6-TOU TSM Summary'!E$29*Inputs!$C$13</f>
        <v>46.886037427389773</v>
      </c>
      <c r="F29" s="114"/>
      <c r="G29" s="30">
        <f>'Sch A6-TOU TSM Summary'!G$29*Inputs!$C$13</f>
        <v>0</v>
      </c>
      <c r="H29" s="30">
        <f>'Sch A6-TOU TSM Summary'!H$29*Inputs!$C$13</f>
        <v>0</v>
      </c>
      <c r="I29" s="40">
        <f>'Sch A6-TOU TSM Summary'!I$29*Inputs!$C$13</f>
        <v>0</v>
      </c>
      <c r="J29" s="114"/>
      <c r="K29" s="30">
        <f>'Sch A6-TOU TSM Summary'!K$29*Inputs!$C$13</f>
        <v>46.886037427389773</v>
      </c>
      <c r="L29" s="30">
        <f>'Sch A6-TOU TSM Summary'!L$29*Inputs!$C$13</f>
        <v>0</v>
      </c>
      <c r="M29" s="40">
        <f>'Sch A6-TOU TSM Summary'!M$29*Inputs!$C$13</f>
        <v>46.886037427389773</v>
      </c>
    </row>
    <row r="30" spans="1:13" ht="16">
      <c r="A30" s="36" t="s">
        <v>330</v>
      </c>
      <c r="B30" s="114"/>
      <c r="C30" s="545">
        <f>-Inputs!$C$18</f>
        <v>-3.0284021924274875</v>
      </c>
      <c r="D30" s="30"/>
      <c r="E30" s="547">
        <f>-Inputs!$C$18</f>
        <v>-3.0284021924274875</v>
      </c>
      <c r="F30" s="114"/>
      <c r="G30" s="545">
        <f>-Inputs!$C$18</f>
        <v>-3.0284021924274875</v>
      </c>
      <c r="H30" s="545">
        <f>-Inputs!$C$18</f>
        <v>-3.0284021924274875</v>
      </c>
      <c r="I30" s="547">
        <f>-Inputs!$C$18</f>
        <v>-3.0284021924274875</v>
      </c>
      <c r="J30" s="114"/>
      <c r="K30" s="545">
        <f>-Inputs!$C$18</f>
        <v>-3.0284021924274875</v>
      </c>
      <c r="L30" s="545">
        <f>-Inputs!$C$18</f>
        <v>-3.0284021924274875</v>
      </c>
      <c r="M30" s="547">
        <f>-Inputs!$C$18</f>
        <v>-3.0284021924274875</v>
      </c>
    </row>
    <row r="31" spans="1:13" ht="13">
      <c r="A31" s="36" t="s">
        <v>328</v>
      </c>
      <c r="B31" s="114"/>
      <c r="C31" s="30">
        <f>C29+C30</f>
        <v>43.857635234962288</v>
      </c>
      <c r="D31" s="30"/>
      <c r="E31" s="40">
        <f>E29+E30</f>
        <v>43.857635234962288</v>
      </c>
      <c r="F31" s="114"/>
      <c r="G31" s="30">
        <f>G29+G30</f>
        <v>-3.0284021924274875</v>
      </c>
      <c r="H31" s="30">
        <f>H29+H30</f>
        <v>-3.0284021924274875</v>
      </c>
      <c r="I31" s="40">
        <f>I29+I30</f>
        <v>-3.0284021924274875</v>
      </c>
      <c r="J31" s="114"/>
      <c r="K31" s="30">
        <f>K29+K30</f>
        <v>43.857635234962288</v>
      </c>
      <c r="L31" s="30">
        <f>L29+L30</f>
        <v>-3.0284021924274875</v>
      </c>
      <c r="M31" s="40">
        <f>M29+M30</f>
        <v>43.857635234962288</v>
      </c>
    </row>
    <row r="32" spans="1:13" ht="13">
      <c r="A32" s="11"/>
      <c r="B32" s="114"/>
      <c r="C32" s="30"/>
      <c r="D32" s="30"/>
      <c r="E32" s="40"/>
      <c r="F32" s="114"/>
      <c r="G32" s="30"/>
      <c r="H32" s="30"/>
      <c r="I32" s="40"/>
      <c r="J32" s="114"/>
      <c r="K32" s="30"/>
      <c r="L32" s="30"/>
      <c r="M32" s="40"/>
    </row>
    <row r="33" spans="1:13" ht="13">
      <c r="A33" s="36" t="s">
        <v>57</v>
      </c>
      <c r="B33" s="114"/>
      <c r="C33" s="30">
        <f>'Sch A6-TOU TSM Summary'!C31*Inputs!$C$14</f>
        <v>481.55031066335573</v>
      </c>
      <c r="D33" s="30"/>
      <c r="E33" s="40">
        <f>'Sch A6-TOU TSM Summary'!E31*Inputs!$C$14</f>
        <v>481.55031066335573</v>
      </c>
      <c r="F33" s="114"/>
      <c r="G33" s="30">
        <f>'Sch A6-TOU TSM Summary'!G31*Inputs!$C$14</f>
        <v>0</v>
      </c>
      <c r="H33" s="30">
        <f>'Sch A6-TOU TSM Summary'!H31*Inputs!$C$14</f>
        <v>0</v>
      </c>
      <c r="I33" s="40">
        <f>'Sch A6-TOU TSM Summary'!I31*Inputs!$C$14</f>
        <v>0</v>
      </c>
      <c r="J33" s="114"/>
      <c r="K33" s="30">
        <f>'Sch A6-TOU TSM Summary'!K31*Inputs!$C$14</f>
        <v>481.55031066335573</v>
      </c>
      <c r="L33" s="30">
        <f>'Sch A6-TOU TSM Summary'!L31*Inputs!$C$14</f>
        <v>0</v>
      </c>
      <c r="M33" s="40">
        <f>'Sch A6-TOU TSM Summary'!M31*Inputs!$C$14</f>
        <v>481.55031066335573</v>
      </c>
    </row>
    <row r="34" spans="1:13" ht="13.5" thickBot="1">
      <c r="A34" s="11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</row>
    <row r="35" spans="1:13" ht="13.5" thickBot="1">
      <c r="A35" s="278" t="s">
        <v>126</v>
      </c>
      <c r="B35" s="279"/>
      <c r="C35" s="280">
        <f t="shared" ref="C35:M35" si="4">C27+C31+C33</f>
        <v>896.5137302923381</v>
      </c>
      <c r="D35" s="280"/>
      <c r="E35" s="291">
        <f t="shared" si="4"/>
        <v>896.5137302923381</v>
      </c>
      <c r="F35" s="280"/>
      <c r="G35" s="280">
        <f t="shared" si="4"/>
        <v>-3.0284021924274875</v>
      </c>
      <c r="H35" s="280">
        <f t="shared" si="4"/>
        <v>-3.0284021924274875</v>
      </c>
      <c r="I35" s="280">
        <f t="shared" si="4"/>
        <v>-3.0284021924274875</v>
      </c>
      <c r="J35" s="279"/>
      <c r="K35" s="280">
        <f t="shared" si="4"/>
        <v>896.5137302923381</v>
      </c>
      <c r="L35" s="280">
        <f t="shared" si="4"/>
        <v>-3.0284021924274875</v>
      </c>
      <c r="M35" s="291">
        <f t="shared" si="4"/>
        <v>896.5137302923381</v>
      </c>
    </row>
    <row r="36" spans="1:13">
      <c r="B36" s="18"/>
      <c r="C36" s="18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B2:E2"/>
    <mergeCell ref="F2:I2"/>
    <mergeCell ref="J2:M2"/>
    <mergeCell ref="A1:M1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73">
    <tabColor rgb="FF0070C0"/>
    <pageSetUpPr fitToPage="1"/>
  </sheetPr>
  <dimension ref="A1:J56"/>
  <sheetViews>
    <sheetView topLeftCell="A9" zoomScaleNormal="100" workbookViewId="0">
      <selection activeCell="J31" sqref="J31"/>
    </sheetView>
  </sheetViews>
  <sheetFormatPr defaultRowHeight="12.5"/>
  <cols>
    <col min="1" max="1" width="40.7265625" customWidth="1"/>
    <col min="2" max="2" width="10.26953125" bestFit="1" customWidth="1"/>
    <col min="3" max="4" width="10.26953125" style="12" bestFit="1" customWidth="1"/>
    <col min="5" max="5" width="9.26953125" style="12" bestFit="1" customWidth="1"/>
    <col min="6" max="7" width="10.26953125" style="12" bestFit="1" customWidth="1"/>
    <col min="8" max="10" width="10.26953125" bestFit="1" customWidth="1"/>
  </cols>
  <sheetData>
    <row r="1" spans="1:10" ht="18.5" thickBot="1">
      <c r="A1" s="735" t="s">
        <v>189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103"/>
      <c r="B2" s="737" t="s">
        <v>0</v>
      </c>
      <c r="C2" s="737"/>
      <c r="D2" s="738"/>
      <c r="E2" s="737" t="s">
        <v>1</v>
      </c>
      <c r="F2" s="737"/>
      <c r="G2" s="738"/>
      <c r="H2" s="737" t="s">
        <v>186</v>
      </c>
      <c r="I2" s="737"/>
      <c r="J2" s="738"/>
    </row>
    <row r="3" spans="1:10" ht="13.5" thickBot="1">
      <c r="A3" s="77" t="s">
        <v>47</v>
      </c>
      <c r="B3" s="444" t="s">
        <v>185</v>
      </c>
      <c r="C3" s="444" t="s">
        <v>133</v>
      </c>
      <c r="D3" s="445" t="s">
        <v>128</v>
      </c>
      <c r="E3" s="444" t="s">
        <v>185</v>
      </c>
      <c r="F3" s="444" t="s">
        <v>133</v>
      </c>
      <c r="G3" s="445" t="s">
        <v>129</v>
      </c>
      <c r="H3" s="444" t="s">
        <v>185</v>
      </c>
      <c r="I3" s="444" t="s">
        <v>133</v>
      </c>
      <c r="J3" s="445" t="s">
        <v>2</v>
      </c>
    </row>
    <row r="4" spans="1:10" ht="13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 ht="13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 ht="13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 ht="13">
      <c r="A8" s="36" t="s">
        <v>53</v>
      </c>
      <c r="B8" s="115">
        <f>('Sch TOU-PA TSM Summary'!B8*'Sch TOU-PA Cust Fcst'!$F$39)/('Sch TOU-PA Cust Fcst'!$F$39)</f>
        <v>1633.7802047221999</v>
      </c>
      <c r="C8" s="134">
        <f>('Sch TOU-PA TSM Summary'!C8*'Sch TOU-PA Cust Fcst'!$F$40)/('Sch TOU-PA Cust Fcst'!$F$40)</f>
        <v>14168.457286169785</v>
      </c>
      <c r="D8" s="44">
        <f>('Sch TOU-PA TSM Summary'!D8*'Sch TOU-PA Cust Fcst'!$F$38)/('Sch TOU-PA Cust Fcst'!$F$38)</f>
        <v>5812.005898538061</v>
      </c>
      <c r="E8" s="115"/>
      <c r="F8" s="134"/>
      <c r="G8" s="44"/>
      <c r="H8" s="115">
        <f>('Sch TOU-PA TSM Summary'!H8*'Sch TOU-PA Cust Fcst'!$H$39)/('Sch TOU-PA Cust Fcst'!$H$39)</f>
        <v>1633.7802047221999</v>
      </c>
      <c r="I8" s="134">
        <f>('Sch TOU-PA TSM Summary'!I8*'Sch TOU-PA Cust Fcst'!$H$40)/('Sch TOU-PA Cust Fcst'!$H$40)</f>
        <v>14168.457286169785</v>
      </c>
      <c r="J8" s="44">
        <f>('Sch TOU-PA TSM Summary'!J8*'Sch TOU-PA Cust Fcst'!$H$38)/('Sch TOU-PA Cust Fcst'!$H$38)</f>
        <v>5812.005898538061</v>
      </c>
    </row>
    <row r="9" spans="1:10" ht="13">
      <c r="A9" s="36" t="s">
        <v>51</v>
      </c>
      <c r="B9" s="115">
        <f>('Sch TOU-PA TSM Summary'!B9*'Sch TOU-PA Cust Fcst'!$F$39)/('Sch TOU-PA Cust Fcst'!$F$39)</f>
        <v>664.05612210759307</v>
      </c>
      <c r="C9" s="134">
        <f>('Sch TOU-PA TSM Summary'!C9*'Sch TOU-PA Cust Fcst'!$F$40)/('Sch TOU-PA Cust Fcst'!$F$40)</f>
        <v>3881.3806159244828</v>
      </c>
      <c r="D9" s="44">
        <f>('Sch TOU-PA TSM Summary'!D9*'Sch TOU-PA Cust Fcst'!$F$38)/('Sch TOU-PA Cust Fcst'!$F$38)</f>
        <v>1736.4976200465562</v>
      </c>
      <c r="E9" s="115"/>
      <c r="F9" s="134"/>
      <c r="G9" s="44"/>
      <c r="H9" s="115">
        <f>('Sch TOU-PA TSM Summary'!H9*'Sch TOU-PA Cust Fcst'!$H$39)/('Sch TOU-PA Cust Fcst'!$H$39)</f>
        <v>664.05612210759307</v>
      </c>
      <c r="I9" s="134">
        <f>('Sch TOU-PA TSM Summary'!I9*'Sch TOU-PA Cust Fcst'!$H$40)/('Sch TOU-PA Cust Fcst'!$H$40)</f>
        <v>3881.3806159244828</v>
      </c>
      <c r="J9" s="44">
        <f>('Sch TOU-PA TSM Summary'!J9*'Sch TOU-PA Cust Fcst'!$H$38)/('Sch TOU-PA Cust Fcst'!$H$38)</f>
        <v>1736.4976200465562</v>
      </c>
    </row>
    <row r="10" spans="1:10" ht="13">
      <c r="A10" s="36" t="s">
        <v>52</v>
      </c>
      <c r="B10" s="115">
        <f>('Sch TOU-PA TSM Summary'!B10*'Sch TOU-PA Cust Fcst'!$F$39)/('Sch TOU-PA Cust Fcst'!$F$39)</f>
        <v>301.76349896014176</v>
      </c>
      <c r="C10" s="134">
        <f>('Sch TOU-PA TSM Summary'!C10*'Sch TOU-PA Cust Fcst'!$F$40)/('Sch TOU-PA Cust Fcst'!$F$40)</f>
        <v>865.67585029149416</v>
      </c>
      <c r="D10" s="44">
        <f>('Sch TOU-PA TSM Summary'!D10*'Sch TOU-PA Cust Fcst'!$F$38)/('Sch TOU-PA Cust Fcst'!$F$38)</f>
        <v>489.73428273725921</v>
      </c>
      <c r="E10" s="115"/>
      <c r="F10" s="134"/>
      <c r="G10" s="44"/>
      <c r="H10" s="115">
        <f>('Sch TOU-PA TSM Summary'!H10*'Sch TOU-PA Cust Fcst'!$H$39)/('Sch TOU-PA Cust Fcst'!$H$39)</f>
        <v>301.76349896014176</v>
      </c>
      <c r="I10" s="134">
        <f>('Sch TOU-PA TSM Summary'!I10*'Sch TOU-PA Cust Fcst'!$H$40)/('Sch TOU-PA Cust Fcst'!$H$40)</f>
        <v>865.67585029149416</v>
      </c>
      <c r="J10" s="44">
        <f>('Sch TOU-PA TSM Summary'!J10*'Sch TOU-PA Cust Fcst'!$H$38)/('Sch TOU-PA Cust Fcst'!$H$38)</f>
        <v>489.73428273725921</v>
      </c>
    </row>
    <row r="11" spans="1:10" ht="13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 ht="13">
      <c r="A12" s="36" t="s">
        <v>35</v>
      </c>
      <c r="B12" s="114">
        <f t="shared" ref="B12:J12" si="0">SUM(B8:B10)</f>
        <v>2599.5998257899346</v>
      </c>
      <c r="C12" s="30">
        <f t="shared" si="0"/>
        <v>18915.513752385759</v>
      </c>
      <c r="D12" s="40">
        <f t="shared" si="0"/>
        <v>8038.2378013218768</v>
      </c>
      <c r="E12" s="114"/>
      <c r="F12" s="30"/>
      <c r="G12" s="40"/>
      <c r="H12" s="114">
        <f t="shared" si="0"/>
        <v>2599.5998257899346</v>
      </c>
      <c r="I12" s="30">
        <f t="shared" si="0"/>
        <v>18915.513752385759</v>
      </c>
      <c r="J12" s="40">
        <f t="shared" si="0"/>
        <v>8038.2378013218768</v>
      </c>
    </row>
    <row r="13" spans="1:10" ht="13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 ht="13">
      <c r="A15" s="47">
        <f>Inputs!C3</f>
        <v>2.9094935671404847E-2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 ht="13">
      <c r="A17" s="47">
        <f>Inputs!C4</f>
        <v>1.99475E-2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 ht="13">
      <c r="A18" s="94" t="s">
        <v>92</v>
      </c>
      <c r="B18" s="114">
        <f t="shared" ref="B18:J20" si="1">(B8*(1+$A$15)*(1+$A$17))</f>
        <v>1714.8529643393322</v>
      </c>
      <c r="C18" s="30">
        <f t="shared" si="1"/>
        <v>14871.535906162348</v>
      </c>
      <c r="D18" s="40">
        <f t="shared" si="1"/>
        <v>6100.413944947004</v>
      </c>
      <c r="E18" s="114"/>
      <c r="F18" s="30"/>
      <c r="G18" s="40"/>
      <c r="H18" s="114">
        <f t="shared" si="1"/>
        <v>1714.8529643393322</v>
      </c>
      <c r="I18" s="30">
        <f t="shared" si="1"/>
        <v>14871.535906162348</v>
      </c>
      <c r="J18" s="40">
        <f t="shared" si="1"/>
        <v>6100.413944947004</v>
      </c>
    </row>
    <row r="19" spans="1:10" ht="13">
      <c r="A19" s="94" t="s">
        <v>51</v>
      </c>
      <c r="B19" s="114">
        <f t="shared" si="1"/>
        <v>697.00845082617252</v>
      </c>
      <c r="C19" s="30">
        <f t="shared" si="1"/>
        <v>4073.9856167366629</v>
      </c>
      <c r="D19" s="40">
        <f t="shared" si="1"/>
        <v>1822.6675061296692</v>
      </c>
      <c r="E19" s="114"/>
      <c r="F19" s="30"/>
      <c r="G19" s="40"/>
      <c r="H19" s="114">
        <f t="shared" si="1"/>
        <v>697.00845082617252</v>
      </c>
      <c r="I19" s="30">
        <f t="shared" si="1"/>
        <v>4073.9856167366629</v>
      </c>
      <c r="J19" s="40">
        <f t="shared" si="1"/>
        <v>1822.6675061296692</v>
      </c>
    </row>
    <row r="20" spans="1:10" ht="13">
      <c r="A20" s="94" t="s">
        <v>52</v>
      </c>
      <c r="B20" s="114">
        <f t="shared" si="1"/>
        <v>316.73785079872351</v>
      </c>
      <c r="C20" s="30">
        <f t="shared" si="1"/>
        <v>908.63311584911696</v>
      </c>
      <c r="D20" s="40">
        <f t="shared" si="1"/>
        <v>514.036272482188</v>
      </c>
      <c r="E20" s="114"/>
      <c r="F20" s="30"/>
      <c r="G20" s="40"/>
      <c r="H20" s="114">
        <f t="shared" si="1"/>
        <v>316.73785079872351</v>
      </c>
      <c r="I20" s="30">
        <f t="shared" si="1"/>
        <v>908.63311584911696</v>
      </c>
      <c r="J20" s="40">
        <f t="shared" si="1"/>
        <v>514.036272482188</v>
      </c>
    </row>
    <row r="21" spans="1:10" ht="13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 ht="13">
      <c r="A22" s="36" t="s">
        <v>35</v>
      </c>
      <c r="B22" s="119">
        <f t="shared" ref="B22:J22" si="2">B18+B19+B20</f>
        <v>2728.5992659642284</v>
      </c>
      <c r="C22" s="73">
        <f t="shared" si="2"/>
        <v>19854.154638748125</v>
      </c>
      <c r="D22" s="75">
        <f t="shared" si="2"/>
        <v>8437.1177235588621</v>
      </c>
      <c r="E22" s="119"/>
      <c r="F22" s="73"/>
      <c r="G22" s="75"/>
      <c r="H22" s="119">
        <f t="shared" si="2"/>
        <v>2728.5992659642284</v>
      </c>
      <c r="I22" s="73">
        <f t="shared" si="2"/>
        <v>19854.154638748125</v>
      </c>
      <c r="J22" s="75">
        <f t="shared" si="2"/>
        <v>8437.1177235588621</v>
      </c>
    </row>
    <row r="23" spans="1:10" ht="13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 ht="13">
      <c r="A24" s="94" t="str">
        <f>'Resid TSM Sum by Rate Schedule'!A25</f>
        <v>Annualized Transformer Cost at 8.05%</v>
      </c>
      <c r="B24" s="119">
        <f>B18*Inputs!$C$5</f>
        <v>138.00907301168803</v>
      </c>
      <c r="C24" s="73">
        <f>C18*Inputs!$C$5</f>
        <v>1196.8413195473083</v>
      </c>
      <c r="D24" s="75">
        <f>D18*Inputs!$C$5</f>
        <v>490.95315519022813</v>
      </c>
      <c r="E24" s="119"/>
      <c r="F24" s="73"/>
      <c r="G24" s="75"/>
      <c r="H24" s="119">
        <f>H18*Inputs!$C$5</f>
        <v>138.00907301168803</v>
      </c>
      <c r="I24" s="73">
        <f>I18*Inputs!$C$5</f>
        <v>1196.8413195473083</v>
      </c>
      <c r="J24" s="75">
        <f>J18*Inputs!$C$5</f>
        <v>490.95315519022813</v>
      </c>
    </row>
    <row r="25" spans="1:10" ht="13">
      <c r="A25" s="94" t="str">
        <f>'Resid TSM Sum by Rate Schedule'!A26</f>
        <v>Annualized Services Cost at 7.08%</v>
      </c>
      <c r="B25" s="119">
        <f>B19*Inputs!$C$6</f>
        <v>49.330814887117981</v>
      </c>
      <c r="C25" s="73">
        <f>C19*Inputs!$C$6</f>
        <v>288.33657622630216</v>
      </c>
      <c r="D25" s="75">
        <f>D19*Inputs!$C$6</f>
        <v>128.99940200017937</v>
      </c>
      <c r="E25" s="119"/>
      <c r="F25" s="73"/>
      <c r="G25" s="75"/>
      <c r="H25" s="119">
        <f>H19*Inputs!$C$6</f>
        <v>49.330814887117981</v>
      </c>
      <c r="I25" s="73">
        <f>I19*Inputs!$C$6</f>
        <v>288.33657622630216</v>
      </c>
      <c r="J25" s="75">
        <f>J19*Inputs!$C$6</f>
        <v>128.99940200017937</v>
      </c>
    </row>
    <row r="26" spans="1:10" ht="16">
      <c r="A26" s="94" t="str">
        <f>'Resid TSM Sum by Rate Schedule'!A27</f>
        <v>Annualized Meter Cost at 10.78%</v>
      </c>
      <c r="B26" s="459">
        <f>B20*Inputs!$C$7</f>
        <v>34.133713554216776</v>
      </c>
      <c r="C26" s="458">
        <f>C20*Inputs!$C$7</f>
        <v>97.920164653697341</v>
      </c>
      <c r="D26" s="457">
        <f>D20*Inputs!$C$7</f>
        <v>55.395863920710298</v>
      </c>
      <c r="E26" s="459"/>
      <c r="F26" s="458"/>
      <c r="G26" s="457"/>
      <c r="H26" s="459">
        <f>H20*Inputs!$C$7</f>
        <v>34.133713554216776</v>
      </c>
      <c r="I26" s="458">
        <f>I20*Inputs!$C$7</f>
        <v>97.920164653697341</v>
      </c>
      <c r="J26" s="457">
        <f>J20*Inputs!$C$7</f>
        <v>55.395863920710298</v>
      </c>
    </row>
    <row r="27" spans="1:10" ht="13">
      <c r="A27" s="86" t="s">
        <v>275</v>
      </c>
      <c r="B27" s="119">
        <f>SUM(B24:B26)</f>
        <v>221.47360145302278</v>
      </c>
      <c r="C27" s="73">
        <f t="shared" ref="C27:J27" si="3">SUM(C24:C26)</f>
        <v>1583.0980604273079</v>
      </c>
      <c r="D27" s="75">
        <f t="shared" si="3"/>
        <v>675.34842111111789</v>
      </c>
      <c r="E27" s="119"/>
      <c r="F27" s="73"/>
      <c r="G27" s="75"/>
      <c r="H27" s="119">
        <f t="shared" si="3"/>
        <v>221.47360145302278</v>
      </c>
      <c r="I27" s="73">
        <f t="shared" si="3"/>
        <v>1583.0980604273079</v>
      </c>
      <c r="J27" s="75">
        <f t="shared" si="3"/>
        <v>675.34842111111789</v>
      </c>
    </row>
    <row r="28" spans="1:10" ht="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 ht="13">
      <c r="A29" s="36" t="s">
        <v>50</v>
      </c>
      <c r="B29" s="115">
        <f>('Sch TOU-PA TSM Summary'!B29*'Sch TOU-PA Cust Fcst'!$F$39)/('Sch TOU-PA Cust Fcst'!$F$39)</f>
        <v>87.29810469482328</v>
      </c>
      <c r="C29" s="134">
        <f>('Sch TOU-PA TSM Summary'!C29*'Sch TOU-PA Cust Fcst'!$F$40)/('Sch TOU-PA Cust Fcst'!$F$40)</f>
        <v>87.29810469482328</v>
      </c>
      <c r="D29" s="44">
        <f>('Sch TOU-PA TSM Summary'!D29*'Sch TOU-PA Cust Fcst'!$F$38)/('Sch TOU-PA Cust Fcst'!$F$38)</f>
        <v>87.29810469482328</v>
      </c>
      <c r="E29" s="115"/>
      <c r="F29" s="134"/>
      <c r="G29" s="44"/>
      <c r="H29" s="115">
        <f>('Sch TOU-PA TSM Summary'!H29*'Sch TOU-PA Cust Fcst'!$H$39)/('Sch TOU-PA Cust Fcst'!$H$39)</f>
        <v>87.29810469482328</v>
      </c>
      <c r="I29" s="134">
        <f>('Sch TOU-PA TSM Summary'!I29*'Sch TOU-PA Cust Fcst'!$H$40)/('Sch TOU-PA Cust Fcst'!$H$40)</f>
        <v>87.29810469482328</v>
      </c>
      <c r="J29" s="44">
        <f>('Sch TOU-PA TSM Summary'!J29*'Sch TOU-PA Cust Fcst'!$H$38)/('Sch TOU-PA Cust Fcst'!$H$38)</f>
        <v>87.29810469482328</v>
      </c>
    </row>
    <row r="30" spans="1:10" ht="13">
      <c r="A30" s="11"/>
      <c r="B30" s="114"/>
      <c r="C30" s="30"/>
      <c r="D30" s="40"/>
      <c r="E30" s="114"/>
      <c r="F30" s="30"/>
      <c r="G30" s="40"/>
      <c r="H30" s="114"/>
      <c r="I30" s="30"/>
      <c r="J30" s="40"/>
    </row>
    <row r="31" spans="1:10" ht="13">
      <c r="A31" s="36" t="s">
        <v>57</v>
      </c>
      <c r="B31" s="115">
        <f>('Sch TOU-PA TSM Summary'!B31*'Sch TOU-PA Cust Fcst'!$F$39)/('Sch TOU-PA Cust Fcst'!$F$39)</f>
        <v>148.85601320389145</v>
      </c>
      <c r="C31" s="134">
        <f>('Sch TOU-PA TSM Summary'!C31*'Sch TOU-PA Cust Fcst'!$F$40)/('Sch TOU-PA Cust Fcst'!$F$40)</f>
        <v>148.85601320389145</v>
      </c>
      <c r="D31" s="44">
        <f>('Sch TOU-PA TSM Summary'!D31*'Sch TOU-PA Cust Fcst'!$F$38)/('Sch TOU-PA Cust Fcst'!$F$38)</f>
        <v>148.85601320389145</v>
      </c>
      <c r="E31" s="115"/>
      <c r="F31" s="134"/>
      <c r="G31" s="44"/>
      <c r="H31" s="115">
        <f>('Sch TOU-PA TSM Summary'!H31*'Sch TOU-PA Cust Fcst'!$H$39)/('Sch TOU-PA Cust Fcst'!$H$39)</f>
        <v>148.85601320389145</v>
      </c>
      <c r="I31" s="134">
        <f>('Sch TOU-PA TSM Summary'!I31*'Sch TOU-PA Cust Fcst'!$H$40)/('Sch TOU-PA Cust Fcst'!$H$40)</f>
        <v>148.85601320389145</v>
      </c>
      <c r="J31" s="44">
        <f>('Sch TOU-PA TSM Summary'!J31*'Sch TOU-PA Cust Fcst'!$H$38)/('Sch TOU-PA Cust Fcst'!$H$38)</f>
        <v>148.85601320389145</v>
      </c>
    </row>
    <row r="32" spans="1:10" ht="13.5" thickBot="1">
      <c r="A32" s="15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78" t="s">
        <v>126</v>
      </c>
      <c r="B33" s="279">
        <f t="shared" ref="B33:J33" si="4">B27+B29+B31</f>
        <v>457.62771935173754</v>
      </c>
      <c r="C33" s="280">
        <f t="shared" si="4"/>
        <v>1819.2521783260227</v>
      </c>
      <c r="D33" s="291">
        <f t="shared" si="4"/>
        <v>911.50253900983262</v>
      </c>
      <c r="E33" s="279"/>
      <c r="F33" s="280"/>
      <c r="G33" s="280"/>
      <c r="H33" s="279">
        <f t="shared" si="4"/>
        <v>457.62771935173754</v>
      </c>
      <c r="I33" s="280">
        <f t="shared" si="4"/>
        <v>1819.2521783260227</v>
      </c>
      <c r="J33" s="291">
        <f t="shared" si="4"/>
        <v>911.50253900983262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71">
    <tabColor rgb="FF0070C0"/>
    <pageSetUpPr fitToPage="1"/>
  </sheetPr>
  <dimension ref="A1:J58"/>
  <sheetViews>
    <sheetView topLeftCell="A3" zoomScaleNormal="100" workbookViewId="0">
      <selection activeCell="E8" sqref="E8:G35"/>
    </sheetView>
  </sheetViews>
  <sheetFormatPr defaultRowHeight="12.5"/>
  <cols>
    <col min="1" max="1" width="40.81640625" customWidth="1"/>
    <col min="2" max="2" width="10.26953125" bestFit="1" customWidth="1"/>
    <col min="3" max="4" width="10.26953125" style="12" bestFit="1" customWidth="1"/>
    <col min="5" max="5" width="9.26953125" style="12" bestFit="1" customWidth="1"/>
    <col min="6" max="7" width="10.26953125" style="12" bestFit="1" customWidth="1"/>
    <col min="8" max="10" width="10.26953125" bestFit="1" customWidth="1"/>
  </cols>
  <sheetData>
    <row r="1" spans="1:10" ht="18.5" thickBot="1">
      <c r="A1" s="735" t="s">
        <v>319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103"/>
      <c r="B2" s="737" t="s">
        <v>0</v>
      </c>
      <c r="C2" s="737"/>
      <c r="D2" s="738"/>
      <c r="E2" s="737" t="s">
        <v>1</v>
      </c>
      <c r="F2" s="737"/>
      <c r="G2" s="738"/>
      <c r="H2" s="737" t="s">
        <v>186</v>
      </c>
      <c r="I2" s="737"/>
      <c r="J2" s="738"/>
    </row>
    <row r="3" spans="1:10" ht="13.5" thickBot="1">
      <c r="A3" s="77" t="s">
        <v>47</v>
      </c>
      <c r="B3" s="444" t="s">
        <v>185</v>
      </c>
      <c r="C3" s="444" t="s">
        <v>133</v>
      </c>
      <c r="D3" s="445" t="s">
        <v>128</v>
      </c>
      <c r="E3" s="444" t="s">
        <v>185</v>
      </c>
      <c r="F3" s="444" t="s">
        <v>133</v>
      </c>
      <c r="G3" s="445" t="s">
        <v>129</v>
      </c>
      <c r="H3" s="444" t="s">
        <v>185</v>
      </c>
      <c r="I3" s="444" t="s">
        <v>133</v>
      </c>
      <c r="J3" s="445" t="s">
        <v>2</v>
      </c>
    </row>
    <row r="4" spans="1:10" ht="13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 ht="13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 ht="13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 ht="13">
      <c r="A8" s="36" t="s">
        <v>53</v>
      </c>
      <c r="B8" s="115">
        <f>'Agric TSM Summary'!B8*Inputs!$C$12</f>
        <v>1772.8868910248852</v>
      </c>
      <c r="C8" s="134">
        <f>'Agric TSM Summary'!C8*Inputs!$C$12</f>
        <v>15374.817320036975</v>
      </c>
      <c r="D8" s="44">
        <f>'Agric TSM Summary'!D8*Inputs!$C$12</f>
        <v>6306.8637006955814</v>
      </c>
      <c r="E8" s="115"/>
      <c r="F8" s="134"/>
      <c r="G8" s="44"/>
      <c r="H8" s="115">
        <f>'Agric TSM Summary'!H8*Inputs!$C$12</f>
        <v>1772.8868910248852</v>
      </c>
      <c r="I8" s="134">
        <f>'Agric TSM Summary'!I8*Inputs!$C$12</f>
        <v>15374.817320036975</v>
      </c>
      <c r="J8" s="44">
        <f>'Agric TSM Summary'!J8*Inputs!$C$12</f>
        <v>6306.8637006955814</v>
      </c>
    </row>
    <row r="9" spans="1:10" ht="13">
      <c r="A9" s="36" t="s">
        <v>51</v>
      </c>
      <c r="B9" s="115">
        <f>'Agric TSM Summary'!B9*Inputs!$C$12</f>
        <v>720.5965590638026</v>
      </c>
      <c r="C9" s="134">
        <f>'Agric TSM Summary'!C9*Inputs!$C$12</f>
        <v>4211.8571354710866</v>
      </c>
      <c r="D9" s="44">
        <f>'Agric TSM Summary'!D9*Inputs!$C$12</f>
        <v>1884.3500845328972</v>
      </c>
      <c r="E9" s="115"/>
      <c r="F9" s="134"/>
      <c r="G9" s="44"/>
      <c r="H9" s="115">
        <f>'Agric TSM Summary'!H9*Inputs!$C$12</f>
        <v>720.5965590638026</v>
      </c>
      <c r="I9" s="134">
        <f>'Agric TSM Summary'!I9*Inputs!$C$12</f>
        <v>4211.8571354710866</v>
      </c>
      <c r="J9" s="44">
        <f>'Agric TSM Summary'!J9*Inputs!$C$12</f>
        <v>1884.3500845328972</v>
      </c>
    </row>
    <row r="10" spans="1:10" ht="13">
      <c r="A10" s="36" t="s">
        <v>52</v>
      </c>
      <c r="B10" s="115">
        <f>'Agric TSM Summary'!B10*Inputs!$C$12</f>
        <v>327.45686962659977</v>
      </c>
      <c r="C10" s="134">
        <f>'Agric TSM Summary'!C10*Inputs!$C$12</f>
        <v>939.38301028660817</v>
      </c>
      <c r="D10" s="44">
        <f>'Agric TSM Summary'!D10*Inputs!$C$12</f>
        <v>531.43224984660253</v>
      </c>
      <c r="E10" s="115"/>
      <c r="F10" s="134"/>
      <c r="G10" s="44"/>
      <c r="H10" s="115">
        <f>'Agric TSM Summary'!H10*Inputs!$C$12</f>
        <v>327.45686962659977</v>
      </c>
      <c r="I10" s="134">
        <f>'Agric TSM Summary'!I10*Inputs!$C$12</f>
        <v>939.38301028660817</v>
      </c>
      <c r="J10" s="44">
        <f>'Agric TSM Summary'!J10*Inputs!$C$12</f>
        <v>531.43224984660253</v>
      </c>
    </row>
    <row r="11" spans="1:10" ht="13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 ht="13">
      <c r="A12" s="36" t="s">
        <v>35</v>
      </c>
      <c r="B12" s="114">
        <f>SUM(B8:B10)</f>
        <v>2820.9403197152874</v>
      </c>
      <c r="C12" s="30">
        <f t="shared" ref="C12:J12" si="0">SUM(C8:C10)</f>
        <v>20526.057465794671</v>
      </c>
      <c r="D12" s="40">
        <f t="shared" si="0"/>
        <v>8722.6460350750804</v>
      </c>
      <c r="E12" s="114"/>
      <c r="F12" s="30"/>
      <c r="G12" s="40"/>
      <c r="H12" s="114">
        <f t="shared" si="0"/>
        <v>2820.9403197152874</v>
      </c>
      <c r="I12" s="30">
        <f t="shared" si="0"/>
        <v>20526.057465794671</v>
      </c>
      <c r="J12" s="40">
        <f t="shared" si="0"/>
        <v>8722.6460350750804</v>
      </c>
    </row>
    <row r="13" spans="1:10" ht="13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 ht="13">
      <c r="A15" s="47">
        <f>Inputs!C3</f>
        <v>2.9094935671404847E-2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 ht="13">
      <c r="A17" s="47">
        <f>Inputs!C4</f>
        <v>1.99475E-2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 ht="13">
      <c r="A18" s="94" t="s">
        <v>92</v>
      </c>
      <c r="B18" s="114">
        <f t="shared" ref="B18:J20" si="1">(B8*(1+$A$15)*(1+$A$17))</f>
        <v>1860.8625148750136</v>
      </c>
      <c r="C18" s="30">
        <f t="shared" si="1"/>
        <v>16137.758911042863</v>
      </c>
      <c r="D18" s="40">
        <f t="shared" si="1"/>
        <v>6619.8279802642955</v>
      </c>
      <c r="E18" s="114"/>
      <c r="F18" s="30"/>
      <c r="G18" s="40"/>
      <c r="H18" s="114">
        <f t="shared" si="1"/>
        <v>1860.8625148750136</v>
      </c>
      <c r="I18" s="30">
        <f t="shared" si="1"/>
        <v>16137.758911042863</v>
      </c>
      <c r="J18" s="40">
        <f t="shared" si="1"/>
        <v>6619.8279802642955</v>
      </c>
    </row>
    <row r="19" spans="1:10" ht="13">
      <c r="A19" s="94" t="s">
        <v>51</v>
      </c>
      <c r="B19" s="114">
        <f t="shared" si="1"/>
        <v>756.35458296754177</v>
      </c>
      <c r="C19" s="30">
        <f t="shared" si="1"/>
        <v>4420.8613087979465</v>
      </c>
      <c r="D19" s="40">
        <f t="shared" si="1"/>
        <v>1977.8568249110099</v>
      </c>
      <c r="E19" s="114"/>
      <c r="F19" s="30"/>
      <c r="G19" s="40"/>
      <c r="H19" s="114">
        <f t="shared" si="1"/>
        <v>756.35458296754177</v>
      </c>
      <c r="I19" s="30">
        <f t="shared" si="1"/>
        <v>4420.8613087979465</v>
      </c>
      <c r="J19" s="40">
        <f t="shared" si="1"/>
        <v>1977.8568249110099</v>
      </c>
    </row>
    <row r="20" spans="1:10" ht="13">
      <c r="A20" s="94" t="s">
        <v>52</v>
      </c>
      <c r="B20" s="114">
        <f t="shared" si="1"/>
        <v>343.70619863639155</v>
      </c>
      <c r="C20" s="30">
        <f t="shared" si="1"/>
        <v>985.99783201186824</v>
      </c>
      <c r="D20" s="40">
        <f t="shared" si="1"/>
        <v>557.80340976155037</v>
      </c>
      <c r="E20" s="114"/>
      <c r="F20" s="30"/>
      <c r="G20" s="40"/>
      <c r="H20" s="114">
        <f t="shared" si="1"/>
        <v>343.70619863639155</v>
      </c>
      <c r="I20" s="30">
        <f t="shared" si="1"/>
        <v>985.99783201186824</v>
      </c>
      <c r="J20" s="40">
        <f t="shared" si="1"/>
        <v>557.80340976155037</v>
      </c>
    </row>
    <row r="21" spans="1:10" ht="13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 ht="13">
      <c r="A22" s="36" t="s">
        <v>35</v>
      </c>
      <c r="B22" s="119">
        <f>B18+B19+B20</f>
        <v>2960.9232964789471</v>
      </c>
      <c r="C22" s="73">
        <f t="shared" ref="C22:J22" si="2">C18+C19+C20</f>
        <v>21544.618051852678</v>
      </c>
      <c r="D22" s="75">
        <f t="shared" si="2"/>
        <v>9155.4882149368568</v>
      </c>
      <c r="E22" s="119"/>
      <c r="F22" s="73"/>
      <c r="G22" s="75"/>
      <c r="H22" s="119">
        <f t="shared" si="2"/>
        <v>2960.9232964789471</v>
      </c>
      <c r="I22" s="73">
        <f t="shared" si="2"/>
        <v>21544.618051852678</v>
      </c>
      <c r="J22" s="75">
        <f t="shared" si="2"/>
        <v>9155.4882149368568</v>
      </c>
    </row>
    <row r="23" spans="1:10" ht="13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 ht="13">
      <c r="A24" s="94" t="str">
        <f>'Resid TSM Sum by Rate Schedule'!A25</f>
        <v>Annualized Transformer Cost at 8.05%</v>
      </c>
      <c r="B24" s="119">
        <f>B18*Inputs!$C$5</f>
        <v>149.75972635592149</v>
      </c>
      <c r="C24" s="73">
        <f>C18*Inputs!$C$5</f>
        <v>1298.7452534492793</v>
      </c>
      <c r="D24" s="75">
        <f>D18*Inputs!$C$5</f>
        <v>532.75490205370727</v>
      </c>
      <c r="E24" s="119"/>
      <c r="F24" s="73"/>
      <c r="G24" s="75"/>
      <c r="H24" s="119">
        <f>H18*Inputs!$C$5</f>
        <v>149.75972635592149</v>
      </c>
      <c r="I24" s="73">
        <f>I18*Inputs!$C$5</f>
        <v>1298.7452534492793</v>
      </c>
      <c r="J24" s="75">
        <f>J18*Inputs!$C$5</f>
        <v>532.75490205370727</v>
      </c>
    </row>
    <row r="25" spans="1:10" ht="13">
      <c r="A25" s="94" t="str">
        <f>'Resid TSM Sum by Rate Schedule'!A26</f>
        <v>Annualized Services Cost at 7.08%</v>
      </c>
      <c r="B25" s="119">
        <f>B19*Inputs!$C$6</f>
        <v>53.531040946733491</v>
      </c>
      <c r="C25" s="73">
        <f>C19*Inputs!$C$6</f>
        <v>312.88672412427024</v>
      </c>
      <c r="D25" s="75">
        <f>D19*Inputs!$C$6</f>
        <v>139.98293533924573</v>
      </c>
      <c r="E25" s="119"/>
      <c r="F25" s="73"/>
      <c r="G25" s="75"/>
      <c r="H25" s="119">
        <f>H19*Inputs!$C$6</f>
        <v>53.531040946733491</v>
      </c>
      <c r="I25" s="73">
        <f>I19*Inputs!$C$6</f>
        <v>312.88672412427024</v>
      </c>
      <c r="J25" s="75">
        <f>J19*Inputs!$C$6</f>
        <v>139.98293533924573</v>
      </c>
    </row>
    <row r="26" spans="1:10" ht="16">
      <c r="A26" s="94" t="str">
        <f>'Resid TSM Sum by Rate Schedule'!A27</f>
        <v>Annualized Meter Cost at 10.78%</v>
      </c>
      <c r="B26" s="459">
        <f>B20*Inputs!$C$7</f>
        <v>37.039996645423358</v>
      </c>
      <c r="C26" s="458">
        <f>C20*Inputs!$C$7</f>
        <v>106.25748541925606</v>
      </c>
      <c r="D26" s="457">
        <f>D20*Inputs!$C$7</f>
        <v>60.112492903367581</v>
      </c>
      <c r="E26" s="459"/>
      <c r="F26" s="458"/>
      <c r="G26" s="457"/>
      <c r="H26" s="459">
        <f>H20*Inputs!$C$7</f>
        <v>37.039996645423358</v>
      </c>
      <c r="I26" s="458">
        <f>I20*Inputs!$C$7</f>
        <v>106.25748541925606</v>
      </c>
      <c r="J26" s="457">
        <f>J20*Inputs!$C$7</f>
        <v>60.112492903367581</v>
      </c>
    </row>
    <row r="27" spans="1:10" ht="13">
      <c r="A27" s="86" t="s">
        <v>275</v>
      </c>
      <c r="B27" s="119">
        <f>SUM(B24:B26)</f>
        <v>240.33076394807836</v>
      </c>
      <c r="C27" s="73">
        <f t="shared" ref="C27:J27" si="3">SUM(C24:C26)</f>
        <v>1717.8894629928056</v>
      </c>
      <c r="D27" s="75">
        <f t="shared" si="3"/>
        <v>732.85033029632064</v>
      </c>
      <c r="E27" s="119"/>
      <c r="F27" s="73"/>
      <c r="G27" s="75"/>
      <c r="H27" s="119">
        <f t="shared" si="3"/>
        <v>240.33076394807836</v>
      </c>
      <c r="I27" s="73">
        <f t="shared" si="3"/>
        <v>1717.8894629928056</v>
      </c>
      <c r="J27" s="75">
        <f t="shared" si="3"/>
        <v>732.85033029632064</v>
      </c>
    </row>
    <row r="28" spans="1:10" ht="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 ht="13">
      <c r="A29" s="36" t="s">
        <v>50</v>
      </c>
      <c r="B29" s="114">
        <f>'Agric TSM Summary'!B$29*Inputs!$C$13</f>
        <v>91.972720360028021</v>
      </c>
      <c r="C29" s="30">
        <f>'Agric TSM Summary'!C$29*Inputs!$C$13</f>
        <v>91.972720360028021</v>
      </c>
      <c r="D29" s="40">
        <f>'Agric TSM Summary'!D$29*Inputs!$C$13</f>
        <v>91.972720360028021</v>
      </c>
      <c r="E29" s="114"/>
      <c r="F29" s="30"/>
      <c r="G29" s="40"/>
      <c r="H29" s="114">
        <f>'Agric TSM Summary'!H$29*Inputs!$C$13</f>
        <v>91.972720360028021</v>
      </c>
      <c r="I29" s="30">
        <f>'Agric TSM Summary'!I$29*Inputs!$C$13</f>
        <v>91.972720360028021</v>
      </c>
      <c r="J29" s="40">
        <f>'Agric TSM Summary'!J$29*Inputs!$C$13</f>
        <v>91.972720360028021</v>
      </c>
    </row>
    <row r="30" spans="1:10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7">
        <f>-Inputs!$C$18</f>
        <v>-3.0284021924274875</v>
      </c>
      <c r="E30" s="546"/>
      <c r="F30" s="545"/>
      <c r="G30" s="547"/>
      <c r="H30" s="546">
        <f>-Inputs!$C$18</f>
        <v>-3.0284021924274875</v>
      </c>
      <c r="I30" s="545">
        <f>-Inputs!$C$18</f>
        <v>-3.0284021924274875</v>
      </c>
      <c r="J30" s="547">
        <f>-Inputs!$C$18</f>
        <v>-3.0284021924274875</v>
      </c>
    </row>
    <row r="31" spans="1:10" ht="13">
      <c r="A31" s="36" t="s">
        <v>328</v>
      </c>
      <c r="B31" s="114">
        <f>B29+B30</f>
        <v>88.944318167600528</v>
      </c>
      <c r="C31" s="30">
        <f t="shared" ref="C31:J31" si="4">C29+C30</f>
        <v>88.944318167600528</v>
      </c>
      <c r="D31" s="40">
        <f t="shared" si="4"/>
        <v>88.944318167600528</v>
      </c>
      <c r="E31" s="114"/>
      <c r="F31" s="30"/>
      <c r="G31" s="40"/>
      <c r="H31" s="114">
        <f t="shared" si="4"/>
        <v>88.944318167600528</v>
      </c>
      <c r="I31" s="30">
        <f t="shared" si="4"/>
        <v>88.944318167600528</v>
      </c>
      <c r="J31" s="40">
        <f t="shared" si="4"/>
        <v>88.944318167600528</v>
      </c>
    </row>
    <row r="32" spans="1:10" ht="13">
      <c r="A32" s="11"/>
      <c r="B32" s="114"/>
      <c r="C32" s="30"/>
      <c r="D32" s="40"/>
      <c r="E32" s="114"/>
      <c r="F32" s="30"/>
      <c r="G32" s="40"/>
      <c r="H32" s="114"/>
      <c r="I32" s="30"/>
      <c r="J32" s="40"/>
    </row>
    <row r="33" spans="1:10" ht="13">
      <c r="A33" s="36" t="s">
        <v>57</v>
      </c>
      <c r="B33" s="114">
        <f>'Agric TSM Summary'!B31*Inputs!$C$14</f>
        <v>160.05279683391606</v>
      </c>
      <c r="C33" s="30">
        <f>'Agric TSM Summary'!C31*Inputs!$C$14</f>
        <v>160.05279683391606</v>
      </c>
      <c r="D33" s="40">
        <f>'Agric TSM Summary'!D31*Inputs!$C$14</f>
        <v>160.05279683391606</v>
      </c>
      <c r="E33" s="114"/>
      <c r="F33" s="30"/>
      <c r="G33" s="40"/>
      <c r="H33" s="114">
        <f>'Agric TSM Summary'!H31*Inputs!$C$14</f>
        <v>160.05279683391606</v>
      </c>
      <c r="I33" s="30">
        <f>'Agric TSM Summary'!I31*Inputs!$C$14</f>
        <v>160.05279683391606</v>
      </c>
      <c r="J33" s="40">
        <f>'Agric TSM Summary'!J31*Inputs!$C$14</f>
        <v>160.05279683391606</v>
      </c>
    </row>
    <row r="34" spans="1:10" ht="13.5" thickBot="1">
      <c r="A34" s="15"/>
      <c r="B34" s="116"/>
      <c r="C34" s="87"/>
      <c r="D34" s="88"/>
      <c r="E34" s="116"/>
      <c r="F34" s="87"/>
      <c r="G34" s="88"/>
      <c r="H34" s="116"/>
      <c r="I34" s="87"/>
      <c r="J34" s="88"/>
    </row>
    <row r="35" spans="1:10" ht="13.5" thickBot="1">
      <c r="A35" s="278" t="s">
        <v>126</v>
      </c>
      <c r="B35" s="279">
        <f t="shared" ref="B35:J35" si="5">B27+B31+B33</f>
        <v>489.32787894959495</v>
      </c>
      <c r="C35" s="280">
        <f t="shared" si="5"/>
        <v>1966.8865779943224</v>
      </c>
      <c r="D35" s="291">
        <f t="shared" si="5"/>
        <v>981.84744529783723</v>
      </c>
      <c r="E35" s="279"/>
      <c r="F35" s="280"/>
      <c r="G35" s="280"/>
      <c r="H35" s="279">
        <f t="shared" si="5"/>
        <v>489.32787894959495</v>
      </c>
      <c r="I35" s="280">
        <f t="shared" si="5"/>
        <v>1966.8865779943224</v>
      </c>
      <c r="J35" s="291">
        <f t="shared" si="5"/>
        <v>981.84744529783723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80">
    <tabColor rgb="FF0070C0"/>
    <pageSetUpPr fitToPage="1"/>
  </sheetPr>
  <dimension ref="A1:J541"/>
  <sheetViews>
    <sheetView zoomScaleNormal="100" workbookViewId="0">
      <pane ySplit="3" topLeftCell="A4" activePane="bottomLeft" state="frozen"/>
      <selection activeCell="D15" sqref="D15"/>
      <selection pane="bottomLeft" activeCell="H2" sqref="H2"/>
    </sheetView>
  </sheetViews>
  <sheetFormatPr defaultRowHeight="12.5"/>
  <cols>
    <col min="1" max="1" width="29.26953125" customWidth="1"/>
    <col min="2" max="2" width="16" customWidth="1"/>
    <col min="3" max="5" width="15.453125" customWidth="1"/>
    <col min="6" max="7" width="14.7265625" customWidth="1"/>
    <col min="8" max="8" width="12.7265625" customWidth="1"/>
  </cols>
  <sheetData>
    <row r="1" spans="1:8" ht="18.5" thickBot="1">
      <c r="A1" s="750" t="s">
        <v>288</v>
      </c>
      <c r="B1" s="750"/>
      <c r="C1" s="750"/>
      <c r="D1" s="750"/>
      <c r="E1" s="750"/>
      <c r="F1" s="750"/>
      <c r="G1" s="750"/>
      <c r="H1" s="750"/>
    </row>
    <row r="2" spans="1:8" ht="13.5" thickBot="1">
      <c r="A2" s="160"/>
      <c r="B2" s="736" t="s">
        <v>0</v>
      </c>
      <c r="C2" s="737"/>
      <c r="D2" s="737"/>
      <c r="E2" s="737"/>
      <c r="F2" s="738"/>
      <c r="G2" s="103"/>
      <c r="H2" s="478" t="s">
        <v>298</v>
      </c>
    </row>
    <row r="3" spans="1:8" ht="13.5" thickBot="1">
      <c r="A3" s="77" t="s">
        <v>4</v>
      </c>
      <c r="B3" s="74" t="s">
        <v>116</v>
      </c>
      <c r="C3" s="26" t="s">
        <v>95</v>
      </c>
      <c r="D3" s="26" t="s">
        <v>33</v>
      </c>
      <c r="E3" s="26" t="s">
        <v>117</v>
      </c>
      <c r="F3" s="482" t="s">
        <v>208</v>
      </c>
      <c r="G3" s="77" t="s">
        <v>1</v>
      </c>
      <c r="H3" s="482" t="s">
        <v>2</v>
      </c>
    </row>
    <row r="4" spans="1:8" ht="13">
      <c r="A4" s="105"/>
      <c r="B4" s="104" t="s">
        <v>45</v>
      </c>
      <c r="C4" s="8" t="s">
        <v>45</v>
      </c>
      <c r="D4" s="8" t="s">
        <v>45</v>
      </c>
      <c r="E4" s="8" t="s">
        <v>45</v>
      </c>
      <c r="F4" s="9" t="s">
        <v>45</v>
      </c>
      <c r="G4" s="105" t="s">
        <v>45</v>
      </c>
      <c r="H4" s="7" t="s">
        <v>45</v>
      </c>
    </row>
    <row r="5" spans="1:8" ht="13">
      <c r="A5" s="84"/>
      <c r="B5" s="104"/>
      <c r="C5" s="8"/>
      <c r="D5" s="8"/>
      <c r="E5" s="8"/>
      <c r="F5" s="9"/>
      <c r="G5" s="106"/>
      <c r="H5" s="9"/>
    </row>
    <row r="6" spans="1:8" ht="13">
      <c r="A6" s="124" t="s">
        <v>5</v>
      </c>
      <c r="B6" s="435"/>
      <c r="C6" s="436"/>
      <c r="D6" s="436"/>
      <c r="E6" s="436"/>
      <c r="F6" s="185"/>
      <c r="G6" s="437"/>
      <c r="H6" s="24"/>
    </row>
    <row r="7" spans="1:8" ht="13">
      <c r="A7" s="20" t="s">
        <v>6</v>
      </c>
      <c r="B7" s="435"/>
      <c r="C7" s="436"/>
      <c r="D7" s="436"/>
      <c r="E7" s="436">
        <v>1</v>
      </c>
      <c r="F7" s="185">
        <f t="shared" ref="F7:F19" si="0">SUM(B7:E7)</f>
        <v>1</v>
      </c>
      <c r="G7" s="437"/>
      <c r="H7" s="24">
        <f t="shared" ref="H7:H19" si="1">F7+G7</f>
        <v>1</v>
      </c>
    </row>
    <row r="8" spans="1:8" ht="13">
      <c r="A8" s="126" t="s">
        <v>7</v>
      </c>
      <c r="B8" s="435"/>
      <c r="C8" s="436">
        <v>1</v>
      </c>
      <c r="D8" s="436"/>
      <c r="E8" s="436"/>
      <c r="F8" s="185">
        <f t="shared" si="0"/>
        <v>1</v>
      </c>
      <c r="G8" s="437"/>
      <c r="H8" s="24">
        <f t="shared" si="1"/>
        <v>1</v>
      </c>
    </row>
    <row r="9" spans="1:8" ht="13">
      <c r="A9" s="126" t="s">
        <v>183</v>
      </c>
      <c r="B9" s="435"/>
      <c r="C9" s="436"/>
      <c r="D9" s="436"/>
      <c r="E9" s="436"/>
      <c r="F9" s="185"/>
      <c r="G9" s="437"/>
      <c r="H9" s="24"/>
    </row>
    <row r="10" spans="1:8" ht="13">
      <c r="A10" s="126" t="s">
        <v>184</v>
      </c>
      <c r="B10" s="435"/>
      <c r="C10" s="436"/>
      <c r="D10" s="436"/>
      <c r="E10" s="436"/>
      <c r="F10" s="185"/>
      <c r="G10" s="437"/>
      <c r="H10" s="24"/>
    </row>
    <row r="11" spans="1:8" ht="13">
      <c r="A11" s="126" t="s">
        <v>8</v>
      </c>
      <c r="B11" s="435"/>
      <c r="C11" s="436"/>
      <c r="D11" s="436"/>
      <c r="E11" s="436"/>
      <c r="F11" s="185"/>
      <c r="G11" s="437"/>
      <c r="H11" s="24"/>
    </row>
    <row r="12" spans="1:8" ht="13">
      <c r="A12" s="126" t="s">
        <v>9</v>
      </c>
      <c r="B12" s="435"/>
      <c r="C12" s="436"/>
      <c r="D12" s="436"/>
      <c r="E12" s="436"/>
      <c r="F12" s="185"/>
      <c r="G12" s="437"/>
      <c r="H12" s="24"/>
    </row>
    <row r="13" spans="1:8" ht="13">
      <c r="A13" s="126" t="s">
        <v>10</v>
      </c>
      <c r="B13" s="435"/>
      <c r="C13" s="436"/>
      <c r="D13" s="436"/>
      <c r="E13" s="436"/>
      <c r="F13" s="185"/>
      <c r="G13" s="437"/>
      <c r="H13" s="24"/>
    </row>
    <row r="14" spans="1:8" ht="13">
      <c r="A14" s="126" t="s">
        <v>11</v>
      </c>
      <c r="B14" s="435"/>
      <c r="C14" s="436"/>
      <c r="D14" s="436"/>
      <c r="E14" s="436"/>
      <c r="F14" s="185"/>
      <c r="G14" s="437"/>
      <c r="H14" s="24"/>
    </row>
    <row r="15" spans="1:8" ht="13">
      <c r="A15" s="126" t="s">
        <v>101</v>
      </c>
      <c r="B15" s="435"/>
      <c r="C15" s="436"/>
      <c r="D15" s="436"/>
      <c r="E15" s="436"/>
      <c r="F15" s="185"/>
      <c r="G15" s="437"/>
      <c r="H15" s="24"/>
    </row>
    <row r="16" spans="1:8" ht="13">
      <c r="A16" s="126" t="s">
        <v>102</v>
      </c>
      <c r="B16" s="435"/>
      <c r="C16" s="436"/>
      <c r="D16" s="436"/>
      <c r="E16" s="436"/>
      <c r="F16" s="185"/>
      <c r="G16" s="437"/>
      <c r="H16" s="24"/>
    </row>
    <row r="17" spans="1:9" ht="13">
      <c r="A17" s="126" t="s">
        <v>12</v>
      </c>
      <c r="B17" s="435"/>
      <c r="C17" s="436"/>
      <c r="D17" s="436"/>
      <c r="E17" s="436"/>
      <c r="F17" s="185"/>
      <c r="G17" s="437"/>
      <c r="H17" s="24"/>
    </row>
    <row r="18" spans="1:9" ht="13">
      <c r="A18" s="126" t="s">
        <v>13</v>
      </c>
      <c r="B18" s="435"/>
      <c r="C18" s="436"/>
      <c r="D18" s="436"/>
      <c r="E18" s="436"/>
      <c r="F18" s="185"/>
      <c r="G18" s="437"/>
      <c r="H18" s="24"/>
    </row>
    <row r="19" spans="1:9" ht="13">
      <c r="A19" s="126" t="s">
        <v>103</v>
      </c>
      <c r="B19" s="435"/>
      <c r="C19" s="436"/>
      <c r="D19" s="436"/>
      <c r="E19" s="436">
        <v>1</v>
      </c>
      <c r="F19" s="185">
        <f t="shared" si="0"/>
        <v>1</v>
      </c>
      <c r="G19" s="437"/>
      <c r="H19" s="24">
        <f t="shared" si="1"/>
        <v>1</v>
      </c>
    </row>
    <row r="20" spans="1:9" ht="13">
      <c r="A20" s="126" t="s">
        <v>104</v>
      </c>
      <c r="B20" s="435"/>
      <c r="C20" s="436"/>
      <c r="D20" s="436"/>
      <c r="E20" s="436"/>
      <c r="F20" s="185"/>
      <c r="G20" s="437"/>
      <c r="H20" s="24"/>
    </row>
    <row r="21" spans="1:9" ht="13">
      <c r="A21" s="124" t="s">
        <v>14</v>
      </c>
      <c r="B21" s="435"/>
      <c r="C21" s="436"/>
      <c r="D21" s="436"/>
      <c r="E21" s="436"/>
      <c r="F21" s="185"/>
      <c r="G21" s="437"/>
      <c r="H21" s="24"/>
    </row>
    <row r="22" spans="1:9" ht="13">
      <c r="A22" s="126" t="s">
        <v>15</v>
      </c>
      <c r="B22" s="435"/>
      <c r="C22" s="436"/>
      <c r="D22" s="436"/>
      <c r="E22" s="436"/>
      <c r="F22" s="185"/>
      <c r="G22" s="437"/>
      <c r="H22" s="24"/>
    </row>
    <row r="23" spans="1:9" ht="13">
      <c r="A23" s="126" t="s">
        <v>16</v>
      </c>
      <c r="B23" s="435"/>
      <c r="C23" s="436"/>
      <c r="D23" s="436"/>
      <c r="E23" s="436"/>
      <c r="F23" s="185"/>
      <c r="G23" s="437"/>
      <c r="H23" s="24"/>
      <c r="I23" s="18"/>
    </row>
    <row r="24" spans="1:9" ht="13">
      <c r="A24" s="126" t="s">
        <v>17</v>
      </c>
      <c r="B24" s="435"/>
      <c r="C24" s="436"/>
      <c r="D24" s="436"/>
      <c r="E24" s="436"/>
      <c r="F24" s="185"/>
      <c r="G24" s="437"/>
      <c r="H24" s="24"/>
    </row>
    <row r="25" spans="1:9" ht="13">
      <c r="A25" s="126" t="s">
        <v>18</v>
      </c>
      <c r="B25" s="435"/>
      <c r="C25" s="436"/>
      <c r="D25" s="436"/>
      <c r="E25" s="436"/>
      <c r="F25" s="185"/>
      <c r="G25" s="437"/>
      <c r="H25" s="24"/>
    </row>
    <row r="26" spans="1:9" ht="13">
      <c r="A26" s="126" t="s">
        <v>19</v>
      </c>
      <c r="B26" s="435"/>
      <c r="C26" s="436"/>
      <c r="D26" s="436"/>
      <c r="E26" s="436"/>
      <c r="F26" s="185"/>
      <c r="G26" s="437"/>
      <c r="H26" s="24"/>
    </row>
    <row r="27" spans="1:9" ht="13">
      <c r="A27" s="126" t="s">
        <v>20</v>
      </c>
      <c r="B27" s="435"/>
      <c r="C27" s="436"/>
      <c r="D27" s="436"/>
      <c r="E27" s="436"/>
      <c r="F27" s="185"/>
      <c r="G27" s="437"/>
      <c r="H27" s="24"/>
    </row>
    <row r="28" spans="1:9" ht="13">
      <c r="A28" s="126" t="s">
        <v>21</v>
      </c>
      <c r="B28" s="435"/>
      <c r="C28" s="436"/>
      <c r="D28" s="436"/>
      <c r="E28" s="436"/>
      <c r="F28" s="185"/>
      <c r="G28" s="437"/>
      <c r="H28" s="24"/>
    </row>
    <row r="29" spans="1:9" ht="13">
      <c r="A29" s="126" t="s">
        <v>22</v>
      </c>
      <c r="B29" s="435"/>
      <c r="C29" s="436"/>
      <c r="D29" s="436"/>
      <c r="E29" s="436"/>
      <c r="F29" s="185"/>
      <c r="G29" s="437"/>
      <c r="H29" s="24"/>
    </row>
    <row r="30" spans="1:9" ht="13">
      <c r="A30" s="124" t="s">
        <v>23</v>
      </c>
      <c r="B30" s="435"/>
      <c r="C30" s="436"/>
      <c r="D30" s="436"/>
      <c r="E30" s="436"/>
      <c r="F30" s="185"/>
      <c r="G30" s="437"/>
      <c r="H30" s="24"/>
    </row>
    <row r="31" spans="1:9" ht="13">
      <c r="A31" s="124" t="s">
        <v>24</v>
      </c>
      <c r="B31" s="183"/>
      <c r="C31" s="184"/>
      <c r="D31" s="184"/>
      <c r="E31" s="184"/>
      <c r="F31" s="185"/>
      <c r="G31" s="219"/>
      <c r="H31" s="24"/>
    </row>
    <row r="32" spans="1:9" ht="13">
      <c r="A32" s="124" t="s">
        <v>25</v>
      </c>
      <c r="B32" s="183"/>
      <c r="C32" s="184"/>
      <c r="D32" s="184"/>
      <c r="E32" s="184"/>
      <c r="F32" s="185"/>
      <c r="G32" s="219"/>
      <c r="H32" s="24"/>
    </row>
    <row r="33" spans="1:10" ht="13">
      <c r="A33" s="124" t="s">
        <v>106</v>
      </c>
      <c r="B33" s="183"/>
      <c r="C33" s="184"/>
      <c r="D33" s="184"/>
      <c r="E33" s="184"/>
      <c r="F33" s="185"/>
      <c r="G33" s="219"/>
      <c r="H33" s="24"/>
    </row>
    <row r="34" spans="1:10" ht="13">
      <c r="A34" s="124" t="s">
        <v>107</v>
      </c>
      <c r="B34" s="183"/>
      <c r="C34" s="184"/>
      <c r="D34" s="184"/>
      <c r="E34" s="184"/>
      <c r="F34" s="185"/>
      <c r="G34" s="219"/>
      <c r="H34" s="24"/>
    </row>
    <row r="35" spans="1:10" ht="13">
      <c r="A35" s="126" t="s">
        <v>26</v>
      </c>
      <c r="B35" s="183"/>
      <c r="C35" s="184"/>
      <c r="D35" s="184"/>
      <c r="E35" s="184"/>
      <c r="F35" s="185"/>
      <c r="G35" s="219"/>
      <c r="H35" s="24"/>
    </row>
    <row r="36" spans="1:10" ht="13">
      <c r="A36" s="126" t="s">
        <v>27</v>
      </c>
      <c r="B36" s="183"/>
      <c r="C36" s="184"/>
      <c r="D36" s="184"/>
      <c r="E36" s="184"/>
      <c r="F36" s="185"/>
      <c r="G36" s="219"/>
      <c r="H36" s="24"/>
    </row>
    <row r="37" spans="1:10" ht="13.5" thickBot="1">
      <c r="A37" s="124"/>
      <c r="B37" s="183"/>
      <c r="C37" s="184"/>
      <c r="D37" s="184"/>
      <c r="E37" s="184"/>
      <c r="F37" s="185"/>
      <c r="G37" s="333"/>
      <c r="H37" s="204"/>
    </row>
    <row r="38" spans="1:10" ht="13.5" thickBot="1">
      <c r="A38" s="178" t="s">
        <v>2</v>
      </c>
      <c r="B38" s="212"/>
      <c r="C38" s="131">
        <f>SUM(C6:C37)</f>
        <v>1</v>
      </c>
      <c r="D38" s="131"/>
      <c r="E38" s="131">
        <f>SUM(E6:E37)</f>
        <v>2</v>
      </c>
      <c r="F38" s="131">
        <f>SUM(F6:F37)</f>
        <v>3</v>
      </c>
      <c r="G38" s="213"/>
      <c r="H38" s="220">
        <f>SUM(H6:H37)</f>
        <v>3</v>
      </c>
      <c r="J38" s="175"/>
    </row>
    <row r="39" spans="1:10" ht="13">
      <c r="A39" s="223" t="s">
        <v>114</v>
      </c>
      <c r="B39" s="255"/>
      <c r="C39" s="245">
        <f>SUM(C6:C9)</f>
        <v>1</v>
      </c>
      <c r="D39" s="245"/>
      <c r="E39" s="245">
        <f>SUM(E6:E9)</f>
        <v>1</v>
      </c>
      <c r="F39" s="248">
        <f>SUM(F6:F9)</f>
        <v>2</v>
      </c>
      <c r="G39" s="251"/>
      <c r="H39" s="248">
        <f>SUM(H6:H9)</f>
        <v>2</v>
      </c>
      <c r="J39" s="175"/>
    </row>
    <row r="40" spans="1:10" ht="13.5" thickBot="1">
      <c r="A40" s="176" t="s">
        <v>115</v>
      </c>
      <c r="B40" s="257"/>
      <c r="C40" s="247">
        <f t="shared" ref="C40:H40" si="2">SUM(C10:C36)</f>
        <v>0</v>
      </c>
      <c r="D40" s="247"/>
      <c r="E40" s="247">
        <f t="shared" si="2"/>
        <v>1</v>
      </c>
      <c r="F40" s="250">
        <f t="shared" si="2"/>
        <v>1</v>
      </c>
      <c r="G40" s="253"/>
      <c r="H40" s="250">
        <f t="shared" si="2"/>
        <v>1</v>
      </c>
      <c r="J40" s="175"/>
    </row>
    <row r="41" spans="1:10" ht="13">
      <c r="A41" s="121"/>
      <c r="B41" s="241"/>
      <c r="C41" s="241"/>
      <c r="D41" s="241"/>
      <c r="E41" s="241"/>
      <c r="F41" s="241"/>
      <c r="G41" s="241"/>
      <c r="H41" s="426"/>
    </row>
    <row r="42" spans="1:10" ht="13">
      <c r="A42" s="29" t="s">
        <v>271</v>
      </c>
      <c r="B42" s="12"/>
      <c r="C42" s="12"/>
      <c r="D42" s="12"/>
      <c r="E42" s="12"/>
      <c r="F42" s="12"/>
      <c r="G42" s="12"/>
      <c r="H42" s="76"/>
    </row>
    <row r="43" spans="1:10" ht="13">
      <c r="A43" s="29"/>
      <c r="B43" s="415" t="s">
        <v>350</v>
      </c>
      <c r="C43" s="12"/>
      <c r="D43" s="12"/>
      <c r="E43" s="12"/>
      <c r="F43" s="12"/>
      <c r="G43" s="12"/>
      <c r="H43" s="76"/>
    </row>
    <row r="44" spans="1:10" ht="13.5" thickBot="1">
      <c r="A44" s="72"/>
      <c r="B44" s="432" t="s">
        <v>270</v>
      </c>
      <c r="C44" s="28"/>
      <c r="D44" s="28"/>
      <c r="E44" s="28"/>
      <c r="F44" s="28"/>
      <c r="G44" s="28"/>
      <c r="H44" s="80"/>
    </row>
    <row r="45" spans="1:10" ht="13">
      <c r="A45" s="120"/>
    </row>
    <row r="46" spans="1:10" ht="13">
      <c r="A46" s="261" t="s">
        <v>86</v>
      </c>
      <c r="B46" s="18">
        <f>SUM(B39:B40)-B38</f>
        <v>0</v>
      </c>
      <c r="C46" s="18">
        <f t="shared" ref="C46:H46" si="3">SUM(C39:C40)-C38</f>
        <v>0</v>
      </c>
      <c r="D46" s="18">
        <f t="shared" si="3"/>
        <v>0</v>
      </c>
      <c r="E46" s="18">
        <f t="shared" si="3"/>
        <v>0</v>
      </c>
      <c r="F46" s="18">
        <f t="shared" si="3"/>
        <v>0</v>
      </c>
      <c r="G46" s="18">
        <f t="shared" si="3"/>
        <v>0</v>
      </c>
      <c r="H46" s="18">
        <f t="shared" si="3"/>
        <v>0</v>
      </c>
    </row>
    <row r="47" spans="1:10" ht="13">
      <c r="A47" s="21"/>
    </row>
    <row r="48" spans="1:10" ht="13">
      <c r="A48" s="21"/>
    </row>
    <row r="49" spans="1:1" ht="13">
      <c r="A49" s="21"/>
    </row>
    <row r="50" spans="1:1" ht="13">
      <c r="A50" s="21"/>
    </row>
    <row r="51" spans="1:1" ht="13">
      <c r="A51" s="21"/>
    </row>
    <row r="52" spans="1:1" ht="13">
      <c r="A52" s="21"/>
    </row>
    <row r="53" spans="1:1" ht="13">
      <c r="A53" s="21"/>
    </row>
    <row r="54" spans="1:1" ht="13">
      <c r="A54" s="21"/>
    </row>
    <row r="55" spans="1:1" ht="13">
      <c r="A55" s="21"/>
    </row>
    <row r="56" spans="1:1" ht="13">
      <c r="A56" s="21"/>
    </row>
    <row r="57" spans="1:1" ht="13">
      <c r="A57" s="21"/>
    </row>
    <row r="58" spans="1:1" ht="13">
      <c r="A58" s="21"/>
    </row>
    <row r="59" spans="1:1" ht="13">
      <c r="A59" s="21"/>
    </row>
    <row r="60" spans="1:1" ht="13">
      <c r="A60" s="21"/>
    </row>
    <row r="61" spans="1:1" ht="13">
      <c r="A61" s="21"/>
    </row>
    <row r="62" spans="1:1" ht="13">
      <c r="A62" s="21"/>
    </row>
    <row r="63" spans="1:1" ht="13">
      <c r="A63" s="21"/>
    </row>
    <row r="64" spans="1:1" ht="13">
      <c r="A64" s="21"/>
    </row>
    <row r="65" spans="1:1" ht="13">
      <c r="A65" s="21"/>
    </row>
    <row r="66" spans="1:1" ht="13">
      <c r="A66" s="21"/>
    </row>
    <row r="67" spans="1:1" ht="13">
      <c r="A67" s="21"/>
    </row>
    <row r="68" spans="1:1" ht="13">
      <c r="A68" s="21"/>
    </row>
    <row r="69" spans="1:1" ht="13">
      <c r="A69" s="21"/>
    </row>
    <row r="70" spans="1:1" ht="13">
      <c r="A70" s="21"/>
    </row>
    <row r="71" spans="1:1" ht="13">
      <c r="A71" s="21"/>
    </row>
    <row r="72" spans="1:1" ht="13">
      <c r="A72" s="21"/>
    </row>
    <row r="73" spans="1:1" ht="13">
      <c r="A73" s="21"/>
    </row>
    <row r="74" spans="1:1" ht="13">
      <c r="A74" s="21"/>
    </row>
    <row r="75" spans="1:1" ht="13">
      <c r="A75" s="21"/>
    </row>
    <row r="76" spans="1:1" ht="13">
      <c r="A76" s="21"/>
    </row>
    <row r="77" spans="1:1" ht="13">
      <c r="A77" s="21"/>
    </row>
    <row r="78" spans="1:1" ht="13">
      <c r="A78" s="21"/>
    </row>
    <row r="79" spans="1:1" ht="13">
      <c r="A79" s="21"/>
    </row>
    <row r="80" spans="1:1" ht="13">
      <c r="A80" s="21"/>
    </row>
    <row r="81" spans="1:1" ht="13">
      <c r="A81" s="21"/>
    </row>
    <row r="82" spans="1:1" ht="13">
      <c r="A82" s="21"/>
    </row>
    <row r="83" spans="1:1" ht="13">
      <c r="A83" s="21"/>
    </row>
    <row r="84" spans="1:1" ht="13">
      <c r="A84" s="21"/>
    </row>
    <row r="85" spans="1:1" ht="13">
      <c r="A85" s="21"/>
    </row>
    <row r="86" spans="1:1" ht="13">
      <c r="A86" s="21"/>
    </row>
    <row r="87" spans="1:1" ht="13">
      <c r="A87" s="21"/>
    </row>
    <row r="88" spans="1:1" ht="13">
      <c r="A88" s="21"/>
    </row>
    <row r="89" spans="1:1" ht="13">
      <c r="A89" s="21"/>
    </row>
    <row r="90" spans="1:1" ht="13">
      <c r="A90" s="21"/>
    </row>
    <row r="91" spans="1:1" ht="13">
      <c r="A91" s="21"/>
    </row>
    <row r="92" spans="1:1" ht="13">
      <c r="A92" s="21"/>
    </row>
    <row r="93" spans="1:1" ht="13">
      <c r="A93" s="21"/>
    </row>
    <row r="94" spans="1:1" ht="13">
      <c r="A94" s="21"/>
    </row>
    <row r="95" spans="1:1" ht="13">
      <c r="A95" s="21"/>
    </row>
    <row r="96" spans="1:1" ht="13">
      <c r="A96" s="21"/>
    </row>
    <row r="97" spans="1:1" ht="13">
      <c r="A97" s="21"/>
    </row>
    <row r="98" spans="1:1" ht="13">
      <c r="A98" s="21"/>
    </row>
    <row r="99" spans="1:1" ht="13">
      <c r="A99" s="21"/>
    </row>
    <row r="100" spans="1:1" ht="13">
      <c r="A100" s="21"/>
    </row>
    <row r="101" spans="1:1" ht="13">
      <c r="A101" s="21"/>
    </row>
    <row r="102" spans="1:1" ht="13">
      <c r="A102" s="21"/>
    </row>
    <row r="103" spans="1:1" ht="13">
      <c r="A103" s="21"/>
    </row>
    <row r="104" spans="1:1" ht="13">
      <c r="A104" s="21"/>
    </row>
    <row r="105" spans="1:1" ht="13">
      <c r="A105" s="21"/>
    </row>
    <row r="106" spans="1:1" ht="13">
      <c r="A106" s="21"/>
    </row>
    <row r="107" spans="1:1" ht="13">
      <c r="A107" s="21"/>
    </row>
    <row r="108" spans="1:1" ht="13">
      <c r="A108" s="21"/>
    </row>
    <row r="109" spans="1:1" ht="13">
      <c r="A109" s="21"/>
    </row>
    <row r="110" spans="1:1" ht="13">
      <c r="A110" s="21"/>
    </row>
    <row r="111" spans="1:1" ht="13">
      <c r="A111" s="21"/>
    </row>
    <row r="112" spans="1:1" ht="13">
      <c r="A112" s="21"/>
    </row>
    <row r="113" spans="1:1" ht="13">
      <c r="A113" s="21"/>
    </row>
    <row r="114" spans="1:1" ht="13">
      <c r="A114" s="21"/>
    </row>
    <row r="115" spans="1:1" ht="13">
      <c r="A115" s="21"/>
    </row>
    <row r="116" spans="1:1" ht="13">
      <c r="A116" s="21"/>
    </row>
    <row r="117" spans="1:1" ht="13">
      <c r="A117" s="21"/>
    </row>
    <row r="118" spans="1:1" ht="13">
      <c r="A118" s="21"/>
    </row>
    <row r="119" spans="1:1" ht="13">
      <c r="A119" s="21"/>
    </row>
    <row r="120" spans="1:1" ht="13">
      <c r="A120" s="21"/>
    </row>
    <row r="121" spans="1:1" ht="13">
      <c r="A121" s="21"/>
    </row>
    <row r="122" spans="1:1" ht="13">
      <c r="A122" s="21"/>
    </row>
    <row r="123" spans="1:1" ht="13">
      <c r="A123" s="21"/>
    </row>
    <row r="124" spans="1:1" ht="13">
      <c r="A124" s="21"/>
    </row>
    <row r="125" spans="1:1" ht="13">
      <c r="A125" s="21"/>
    </row>
    <row r="126" spans="1:1" ht="13">
      <c r="A126" s="21"/>
    </row>
    <row r="127" spans="1:1" ht="13">
      <c r="A127" s="21"/>
    </row>
    <row r="128" spans="1:1" ht="13">
      <c r="A128" s="21"/>
    </row>
    <row r="129" spans="1:1" ht="13">
      <c r="A129" s="21"/>
    </row>
    <row r="130" spans="1:1" ht="13">
      <c r="A130" s="21"/>
    </row>
    <row r="131" spans="1:1" ht="13">
      <c r="A131" s="21"/>
    </row>
    <row r="132" spans="1:1" ht="13">
      <c r="A132" s="21"/>
    </row>
    <row r="133" spans="1:1" ht="13">
      <c r="A133" s="21"/>
    </row>
    <row r="134" spans="1:1" ht="13">
      <c r="A134" s="21"/>
    </row>
    <row r="135" spans="1:1" ht="13">
      <c r="A135" s="21"/>
    </row>
    <row r="136" spans="1:1" ht="13">
      <c r="A136" s="21"/>
    </row>
    <row r="137" spans="1:1" ht="13">
      <c r="A137" s="21"/>
    </row>
    <row r="138" spans="1:1" ht="13">
      <c r="A138" s="21"/>
    </row>
    <row r="139" spans="1:1" ht="13">
      <c r="A139" s="21"/>
    </row>
    <row r="140" spans="1:1" ht="13">
      <c r="A140" s="21"/>
    </row>
    <row r="141" spans="1:1" ht="13">
      <c r="A141" s="21"/>
    </row>
    <row r="142" spans="1:1" ht="13">
      <c r="A142" s="21"/>
    </row>
    <row r="143" spans="1:1" ht="13">
      <c r="A143" s="21"/>
    </row>
    <row r="144" spans="1:1" ht="13">
      <c r="A144" s="21"/>
    </row>
    <row r="145" spans="1:1" ht="13">
      <c r="A145" s="21"/>
    </row>
    <row r="146" spans="1:1" ht="13">
      <c r="A146" s="21"/>
    </row>
    <row r="147" spans="1:1" ht="13">
      <c r="A147" s="21"/>
    </row>
    <row r="148" spans="1:1" ht="13">
      <c r="A148" s="21"/>
    </row>
    <row r="149" spans="1:1" ht="13">
      <c r="A149" s="21"/>
    </row>
    <row r="150" spans="1:1" ht="13">
      <c r="A150" s="21"/>
    </row>
    <row r="151" spans="1:1" ht="13">
      <c r="A151" s="21"/>
    </row>
    <row r="152" spans="1:1" ht="13">
      <c r="A152" s="21"/>
    </row>
    <row r="153" spans="1:1" ht="13">
      <c r="A153" s="21"/>
    </row>
    <row r="154" spans="1:1" ht="13">
      <c r="A154" s="21"/>
    </row>
    <row r="155" spans="1:1" ht="13">
      <c r="A155" s="21"/>
    </row>
    <row r="156" spans="1:1" ht="13">
      <c r="A156" s="21"/>
    </row>
    <row r="157" spans="1:1" ht="13">
      <c r="A157" s="21"/>
    </row>
    <row r="158" spans="1:1" ht="13">
      <c r="A158" s="21"/>
    </row>
    <row r="159" spans="1:1" ht="13">
      <c r="A159" s="21"/>
    </row>
    <row r="160" spans="1:1" ht="13">
      <c r="A160" s="21"/>
    </row>
    <row r="161" spans="1:1" ht="13">
      <c r="A161" s="21"/>
    </row>
    <row r="162" spans="1:1" ht="13">
      <c r="A162" s="21"/>
    </row>
    <row r="163" spans="1:1" ht="13">
      <c r="A163" s="21"/>
    </row>
    <row r="164" spans="1:1" ht="13">
      <c r="A164" s="21"/>
    </row>
    <row r="165" spans="1:1" ht="13">
      <c r="A165" s="21"/>
    </row>
    <row r="166" spans="1:1" ht="13">
      <c r="A166" s="21"/>
    </row>
    <row r="167" spans="1:1" ht="13">
      <c r="A167" s="21"/>
    </row>
    <row r="168" spans="1:1" ht="13">
      <c r="A168" s="21"/>
    </row>
    <row r="169" spans="1:1" ht="13">
      <c r="A169" s="21"/>
    </row>
    <row r="170" spans="1:1" ht="13">
      <c r="A170" s="21"/>
    </row>
    <row r="171" spans="1:1" ht="13">
      <c r="A171" s="21"/>
    </row>
    <row r="172" spans="1:1" ht="13">
      <c r="A172" s="21"/>
    </row>
    <row r="173" spans="1:1" ht="13">
      <c r="A173" s="21"/>
    </row>
    <row r="174" spans="1:1" ht="13">
      <c r="A174" s="21"/>
    </row>
    <row r="175" spans="1:1" ht="13">
      <c r="A175" s="21"/>
    </row>
    <row r="176" spans="1:1" ht="13">
      <c r="A176" s="21"/>
    </row>
    <row r="177" spans="1:1" ht="13">
      <c r="A177" s="21"/>
    </row>
    <row r="178" spans="1:1" ht="13">
      <c r="A178" s="21"/>
    </row>
    <row r="179" spans="1:1" ht="13">
      <c r="A179" s="21"/>
    </row>
    <row r="180" spans="1:1" ht="13">
      <c r="A180" s="21"/>
    </row>
    <row r="181" spans="1:1" ht="13">
      <c r="A181" s="21"/>
    </row>
    <row r="182" spans="1:1" ht="13">
      <c r="A182" s="21"/>
    </row>
    <row r="183" spans="1:1" ht="13">
      <c r="A183" s="21"/>
    </row>
    <row r="184" spans="1:1" ht="13">
      <c r="A184" s="21"/>
    </row>
    <row r="185" spans="1:1" ht="13">
      <c r="A185" s="21"/>
    </row>
    <row r="186" spans="1:1" ht="13">
      <c r="A186" s="21"/>
    </row>
    <row r="187" spans="1:1" ht="13">
      <c r="A187" s="21"/>
    </row>
    <row r="188" spans="1:1" ht="13">
      <c r="A188" s="21"/>
    </row>
    <row r="189" spans="1:1" ht="13">
      <c r="A189" s="21"/>
    </row>
    <row r="190" spans="1:1" ht="13">
      <c r="A190" s="21"/>
    </row>
    <row r="191" spans="1:1" ht="13">
      <c r="A191" s="21"/>
    </row>
    <row r="192" spans="1:1" ht="13">
      <c r="A192" s="21"/>
    </row>
    <row r="193" spans="1:1" ht="13">
      <c r="A193" s="21"/>
    </row>
    <row r="194" spans="1:1" ht="13">
      <c r="A194" s="21"/>
    </row>
    <row r="195" spans="1:1" ht="13">
      <c r="A195" s="21"/>
    </row>
    <row r="196" spans="1:1" ht="13">
      <c r="A196" s="21"/>
    </row>
    <row r="197" spans="1:1" ht="13">
      <c r="A197" s="21"/>
    </row>
    <row r="198" spans="1:1" ht="13">
      <c r="A198" s="21"/>
    </row>
    <row r="199" spans="1:1" ht="13">
      <c r="A199" s="21"/>
    </row>
    <row r="200" spans="1:1" ht="13">
      <c r="A200" s="21"/>
    </row>
    <row r="201" spans="1:1" ht="13">
      <c r="A201" s="21"/>
    </row>
    <row r="202" spans="1:1" ht="13">
      <c r="A202" s="21"/>
    </row>
    <row r="203" spans="1:1" ht="13">
      <c r="A203" s="21"/>
    </row>
    <row r="204" spans="1:1" ht="13">
      <c r="A204" s="21"/>
    </row>
    <row r="205" spans="1:1" ht="13">
      <c r="A205" s="21"/>
    </row>
    <row r="206" spans="1:1" ht="13">
      <c r="A206" s="21"/>
    </row>
    <row r="207" spans="1:1" ht="13">
      <c r="A207" s="21"/>
    </row>
    <row r="208" spans="1:1" ht="13">
      <c r="A208" s="21"/>
    </row>
    <row r="209" spans="1:1" ht="13">
      <c r="A209" s="21"/>
    </row>
    <row r="210" spans="1:1" ht="13">
      <c r="A210" s="21"/>
    </row>
    <row r="211" spans="1:1" ht="13">
      <c r="A211" s="21"/>
    </row>
    <row r="212" spans="1:1" ht="13">
      <c r="A212" s="21"/>
    </row>
    <row r="213" spans="1:1" ht="13">
      <c r="A213" s="21"/>
    </row>
    <row r="214" spans="1:1" ht="13">
      <c r="A214" s="21"/>
    </row>
    <row r="215" spans="1:1" ht="13">
      <c r="A215" s="21"/>
    </row>
    <row r="216" spans="1:1" ht="13">
      <c r="A216" s="21"/>
    </row>
    <row r="217" spans="1:1" ht="13">
      <c r="A217" s="21"/>
    </row>
    <row r="218" spans="1:1" ht="13">
      <c r="A218" s="21"/>
    </row>
    <row r="219" spans="1:1" ht="13">
      <c r="A219" s="21"/>
    </row>
    <row r="220" spans="1:1" ht="13">
      <c r="A220" s="21"/>
    </row>
    <row r="221" spans="1:1" ht="13">
      <c r="A221" s="21"/>
    </row>
    <row r="222" spans="1:1" ht="13">
      <c r="A222" s="21"/>
    </row>
    <row r="223" spans="1:1" ht="13">
      <c r="A223" s="21"/>
    </row>
    <row r="224" spans="1:1" ht="13">
      <c r="A224" s="21"/>
    </row>
    <row r="225" spans="1:1" ht="13">
      <c r="A225" s="21"/>
    </row>
    <row r="226" spans="1:1" ht="13">
      <c r="A226" s="21"/>
    </row>
    <row r="227" spans="1:1" ht="13">
      <c r="A227" s="21"/>
    </row>
    <row r="228" spans="1:1" ht="13">
      <c r="A228" s="21"/>
    </row>
    <row r="229" spans="1:1" ht="13">
      <c r="A229" s="21"/>
    </row>
    <row r="230" spans="1:1" ht="13">
      <c r="A230" s="21"/>
    </row>
    <row r="231" spans="1:1" ht="13">
      <c r="A231" s="21"/>
    </row>
    <row r="232" spans="1:1" ht="13">
      <c r="A232" s="21"/>
    </row>
    <row r="233" spans="1:1" ht="13">
      <c r="A233" s="21"/>
    </row>
    <row r="234" spans="1:1" ht="13">
      <c r="A234" s="21"/>
    </row>
    <row r="235" spans="1:1" ht="13">
      <c r="A235" s="21"/>
    </row>
    <row r="236" spans="1:1" ht="13">
      <c r="A236" s="21"/>
    </row>
    <row r="237" spans="1:1" ht="13">
      <c r="A237" s="21"/>
    </row>
    <row r="238" spans="1:1" ht="13">
      <c r="A238" s="21"/>
    </row>
    <row r="239" spans="1:1" ht="13">
      <c r="A239" s="21"/>
    </row>
    <row r="240" spans="1:1" ht="13">
      <c r="A240" s="21"/>
    </row>
    <row r="241" spans="1:1" ht="13">
      <c r="A241" s="21"/>
    </row>
    <row r="242" spans="1:1" ht="13">
      <c r="A242" s="21"/>
    </row>
    <row r="243" spans="1:1" ht="13">
      <c r="A243" s="21"/>
    </row>
    <row r="244" spans="1:1" ht="13">
      <c r="A244" s="21"/>
    </row>
    <row r="245" spans="1:1" ht="13">
      <c r="A245" s="21"/>
    </row>
    <row r="246" spans="1:1" ht="13">
      <c r="A246" s="21"/>
    </row>
    <row r="247" spans="1:1" ht="13">
      <c r="A247" s="21"/>
    </row>
    <row r="248" spans="1:1" ht="13">
      <c r="A248" s="21"/>
    </row>
    <row r="249" spans="1:1" ht="13">
      <c r="A249" s="21"/>
    </row>
    <row r="250" spans="1:1" ht="13">
      <c r="A250" s="21"/>
    </row>
    <row r="251" spans="1:1" ht="13">
      <c r="A251" s="21"/>
    </row>
    <row r="252" spans="1:1" ht="13">
      <c r="A252" s="21"/>
    </row>
    <row r="253" spans="1:1" ht="13">
      <c r="A253" s="21"/>
    </row>
    <row r="254" spans="1:1" ht="13">
      <c r="A254" s="21"/>
    </row>
    <row r="255" spans="1:1" ht="13">
      <c r="A255" s="21"/>
    </row>
    <row r="256" spans="1:1" ht="13">
      <c r="A256" s="21"/>
    </row>
    <row r="257" spans="1:1" ht="13">
      <c r="A257" s="21"/>
    </row>
    <row r="258" spans="1:1" ht="13">
      <c r="A258" s="21"/>
    </row>
    <row r="259" spans="1:1" ht="13">
      <c r="A259" s="21"/>
    </row>
    <row r="260" spans="1:1" ht="13">
      <c r="A260" s="21"/>
    </row>
    <row r="261" spans="1:1" ht="13">
      <c r="A261" s="21"/>
    </row>
    <row r="262" spans="1:1" ht="13">
      <c r="A262" s="21"/>
    </row>
    <row r="263" spans="1:1" ht="13">
      <c r="A263" s="21"/>
    </row>
    <row r="264" spans="1:1" ht="13">
      <c r="A264" s="21"/>
    </row>
    <row r="265" spans="1:1" ht="13">
      <c r="A265" s="21"/>
    </row>
    <row r="266" spans="1:1" ht="13">
      <c r="A266" s="21"/>
    </row>
    <row r="267" spans="1:1" ht="13">
      <c r="A267" s="21"/>
    </row>
    <row r="268" spans="1:1" ht="13">
      <c r="A268" s="21"/>
    </row>
    <row r="269" spans="1:1" ht="13">
      <c r="A269" s="21"/>
    </row>
    <row r="270" spans="1:1" ht="13">
      <c r="A270" s="21"/>
    </row>
    <row r="271" spans="1:1" ht="13">
      <c r="A271" s="21"/>
    </row>
    <row r="272" spans="1:1" ht="13">
      <c r="A272" s="21"/>
    </row>
    <row r="273" spans="1:1" ht="13">
      <c r="A273" s="21"/>
    </row>
    <row r="274" spans="1:1" ht="13">
      <c r="A274" s="21"/>
    </row>
    <row r="275" spans="1:1" ht="13">
      <c r="A275" s="21"/>
    </row>
    <row r="276" spans="1:1" ht="13">
      <c r="A276" s="21"/>
    </row>
    <row r="277" spans="1:1" ht="13">
      <c r="A277" s="21"/>
    </row>
    <row r="278" spans="1:1" ht="13">
      <c r="A278" s="21"/>
    </row>
    <row r="279" spans="1:1" ht="13">
      <c r="A279" s="21"/>
    </row>
    <row r="280" spans="1:1" ht="13">
      <c r="A280" s="21"/>
    </row>
    <row r="281" spans="1:1" ht="13">
      <c r="A281" s="21"/>
    </row>
    <row r="282" spans="1:1" ht="13">
      <c r="A282" s="21"/>
    </row>
    <row r="283" spans="1:1" ht="13">
      <c r="A283" s="21"/>
    </row>
    <row r="284" spans="1:1" ht="13">
      <c r="A284" s="21"/>
    </row>
    <row r="285" spans="1:1" ht="13">
      <c r="A285" s="21"/>
    </row>
    <row r="286" spans="1:1" ht="13">
      <c r="A286" s="21"/>
    </row>
    <row r="287" spans="1:1" ht="13">
      <c r="A287" s="21"/>
    </row>
    <row r="288" spans="1:1" ht="13">
      <c r="A288" s="21"/>
    </row>
    <row r="289" spans="1:1" ht="13">
      <c r="A289" s="21"/>
    </row>
    <row r="290" spans="1:1" ht="13">
      <c r="A290" s="21"/>
    </row>
    <row r="291" spans="1:1" ht="13">
      <c r="A291" s="21"/>
    </row>
    <row r="292" spans="1:1" ht="13">
      <c r="A292" s="21"/>
    </row>
    <row r="293" spans="1:1" ht="13">
      <c r="A293" s="21"/>
    </row>
    <row r="294" spans="1:1" ht="13">
      <c r="A294" s="21"/>
    </row>
    <row r="295" spans="1:1" ht="13">
      <c r="A295" s="21"/>
    </row>
    <row r="296" spans="1:1" ht="13">
      <c r="A296" s="21"/>
    </row>
    <row r="297" spans="1:1" ht="13">
      <c r="A297" s="21"/>
    </row>
    <row r="298" spans="1:1" ht="13">
      <c r="A298" s="21"/>
    </row>
    <row r="299" spans="1:1" ht="13">
      <c r="A299" s="21"/>
    </row>
    <row r="300" spans="1:1" ht="13">
      <c r="A300" s="21"/>
    </row>
    <row r="301" spans="1:1" ht="13">
      <c r="A301" s="21"/>
    </row>
    <row r="302" spans="1:1" ht="13">
      <c r="A302" s="21"/>
    </row>
    <row r="303" spans="1:1" ht="13">
      <c r="A303" s="21"/>
    </row>
    <row r="304" spans="1:1" ht="13">
      <c r="A304" s="21"/>
    </row>
    <row r="305" spans="1:1" ht="13">
      <c r="A305" s="21"/>
    </row>
    <row r="306" spans="1:1" ht="13">
      <c r="A306" s="21"/>
    </row>
    <row r="307" spans="1:1" ht="13">
      <c r="A307" s="21"/>
    </row>
    <row r="308" spans="1:1" ht="13">
      <c r="A308" s="21"/>
    </row>
    <row r="309" spans="1:1" ht="13">
      <c r="A309" s="21"/>
    </row>
    <row r="310" spans="1:1" ht="13">
      <c r="A310" s="21"/>
    </row>
    <row r="311" spans="1:1" ht="13">
      <c r="A311" s="21"/>
    </row>
    <row r="312" spans="1:1" ht="13">
      <c r="A312" s="21"/>
    </row>
    <row r="313" spans="1:1" ht="13">
      <c r="A313" s="21"/>
    </row>
    <row r="314" spans="1:1" ht="13">
      <c r="A314" s="21"/>
    </row>
    <row r="315" spans="1:1" ht="13">
      <c r="A315" s="21"/>
    </row>
    <row r="316" spans="1:1" ht="13">
      <c r="A316" s="21"/>
    </row>
    <row r="317" spans="1:1" ht="13">
      <c r="A317" s="21"/>
    </row>
    <row r="318" spans="1:1" ht="13">
      <c r="A318" s="21"/>
    </row>
    <row r="319" spans="1:1" ht="13">
      <c r="A319" s="21"/>
    </row>
    <row r="320" spans="1:1" ht="13">
      <c r="A320" s="21"/>
    </row>
    <row r="321" spans="1:1" ht="13">
      <c r="A321" s="21"/>
    </row>
    <row r="322" spans="1:1" ht="13">
      <c r="A322" s="21"/>
    </row>
    <row r="323" spans="1:1" ht="13">
      <c r="A323" s="21"/>
    </row>
    <row r="324" spans="1:1" ht="13">
      <c r="A324" s="21"/>
    </row>
    <row r="325" spans="1:1" ht="13">
      <c r="A325" s="21"/>
    </row>
    <row r="326" spans="1:1" ht="13">
      <c r="A326" s="21"/>
    </row>
    <row r="327" spans="1:1" ht="13">
      <c r="A327" s="21"/>
    </row>
    <row r="328" spans="1:1" ht="13">
      <c r="A328" s="21"/>
    </row>
    <row r="329" spans="1:1" ht="13">
      <c r="A329" s="21"/>
    </row>
    <row r="330" spans="1:1" ht="13">
      <c r="A330" s="21"/>
    </row>
    <row r="331" spans="1:1" ht="13">
      <c r="A331" s="21"/>
    </row>
    <row r="332" spans="1:1" ht="13">
      <c r="A332" s="21"/>
    </row>
    <row r="333" spans="1:1" ht="13">
      <c r="A333" s="21"/>
    </row>
    <row r="334" spans="1:1" ht="13">
      <c r="A334" s="21"/>
    </row>
    <row r="335" spans="1:1" ht="13">
      <c r="A335" s="21"/>
    </row>
    <row r="336" spans="1:1" ht="13">
      <c r="A336" s="21"/>
    </row>
    <row r="337" spans="1:1" ht="13">
      <c r="A337" s="21"/>
    </row>
    <row r="338" spans="1:1" ht="13">
      <c r="A338" s="21"/>
    </row>
    <row r="339" spans="1:1" ht="13">
      <c r="A339" s="21"/>
    </row>
    <row r="340" spans="1:1" ht="13">
      <c r="A340" s="21"/>
    </row>
    <row r="341" spans="1:1" ht="13">
      <c r="A341" s="21"/>
    </row>
    <row r="342" spans="1:1" ht="13">
      <c r="A342" s="21"/>
    </row>
    <row r="343" spans="1:1" ht="13">
      <c r="A343" s="21"/>
    </row>
    <row r="344" spans="1:1" ht="13">
      <c r="A344" s="21"/>
    </row>
    <row r="345" spans="1:1" ht="13">
      <c r="A345" s="21"/>
    </row>
    <row r="346" spans="1:1" ht="13">
      <c r="A346" s="21"/>
    </row>
    <row r="347" spans="1:1" ht="13">
      <c r="A347" s="21"/>
    </row>
    <row r="348" spans="1:1" ht="13">
      <c r="A348" s="21"/>
    </row>
    <row r="349" spans="1:1" ht="13">
      <c r="A349" s="21"/>
    </row>
    <row r="350" spans="1:1" ht="13">
      <c r="A350" s="21"/>
    </row>
    <row r="351" spans="1:1" ht="13">
      <c r="A351" s="21"/>
    </row>
    <row r="352" spans="1:1" ht="13">
      <c r="A352" s="21"/>
    </row>
    <row r="353" spans="1:1" ht="13">
      <c r="A353" s="21"/>
    </row>
    <row r="354" spans="1:1" ht="13">
      <c r="A354" s="21"/>
    </row>
    <row r="355" spans="1:1" ht="13">
      <c r="A355" s="21"/>
    </row>
    <row r="356" spans="1:1" ht="13">
      <c r="A356" s="21"/>
    </row>
    <row r="357" spans="1:1" ht="13">
      <c r="A357" s="21"/>
    </row>
    <row r="358" spans="1:1" ht="13">
      <c r="A358" s="21"/>
    </row>
    <row r="359" spans="1:1" ht="13">
      <c r="A359" s="21"/>
    </row>
    <row r="360" spans="1:1" ht="13">
      <c r="A360" s="21"/>
    </row>
    <row r="361" spans="1:1" ht="13">
      <c r="A361" s="21"/>
    </row>
    <row r="362" spans="1:1" ht="13">
      <c r="A362" s="21"/>
    </row>
    <row r="363" spans="1:1" ht="13">
      <c r="A363" s="21"/>
    </row>
    <row r="364" spans="1:1" ht="13">
      <c r="A364" s="21"/>
    </row>
    <row r="365" spans="1:1" ht="13">
      <c r="A365" s="21"/>
    </row>
    <row r="366" spans="1:1" ht="13">
      <c r="A366" s="21"/>
    </row>
    <row r="367" spans="1:1" ht="13">
      <c r="A367" s="21"/>
    </row>
    <row r="368" spans="1:1" ht="13">
      <c r="A368" s="21"/>
    </row>
    <row r="369" spans="1:1" ht="13">
      <c r="A369" s="21"/>
    </row>
    <row r="370" spans="1:1" ht="13">
      <c r="A370" s="21"/>
    </row>
    <row r="371" spans="1:1" ht="13">
      <c r="A371" s="21"/>
    </row>
    <row r="372" spans="1:1" ht="13">
      <c r="A372" s="21"/>
    </row>
    <row r="373" spans="1:1" ht="13">
      <c r="A373" s="21"/>
    </row>
    <row r="374" spans="1:1" ht="13">
      <c r="A374" s="21"/>
    </row>
    <row r="375" spans="1:1" ht="13">
      <c r="A375" s="21"/>
    </row>
    <row r="376" spans="1:1" ht="13">
      <c r="A376" s="21"/>
    </row>
    <row r="377" spans="1:1" ht="13">
      <c r="A377" s="21"/>
    </row>
    <row r="378" spans="1:1" ht="13">
      <c r="A378" s="21"/>
    </row>
    <row r="379" spans="1:1" ht="13">
      <c r="A379" s="21"/>
    </row>
    <row r="380" spans="1:1" ht="13">
      <c r="A380" s="21"/>
    </row>
    <row r="381" spans="1:1" ht="13">
      <c r="A381" s="21"/>
    </row>
    <row r="382" spans="1:1" ht="13">
      <c r="A382" s="21"/>
    </row>
    <row r="383" spans="1:1" ht="13">
      <c r="A383" s="21"/>
    </row>
    <row r="384" spans="1:1" ht="13">
      <c r="A384" s="21"/>
    </row>
    <row r="385" spans="1:1" ht="13">
      <c r="A385" s="21"/>
    </row>
    <row r="386" spans="1:1" ht="13">
      <c r="A386" s="21"/>
    </row>
    <row r="387" spans="1:1" ht="13">
      <c r="A387" s="21"/>
    </row>
    <row r="388" spans="1:1" ht="13">
      <c r="A388" s="21"/>
    </row>
    <row r="389" spans="1:1" ht="13">
      <c r="A389" s="21"/>
    </row>
    <row r="390" spans="1:1" ht="13">
      <c r="A390" s="21"/>
    </row>
    <row r="391" spans="1:1" ht="13">
      <c r="A391" s="21"/>
    </row>
    <row r="392" spans="1:1" ht="13">
      <c r="A392" s="21"/>
    </row>
    <row r="393" spans="1:1" ht="13">
      <c r="A393" s="21"/>
    </row>
    <row r="394" spans="1:1" ht="13">
      <c r="A394" s="21"/>
    </row>
    <row r="395" spans="1:1" ht="13">
      <c r="A395" s="21"/>
    </row>
    <row r="396" spans="1:1" ht="13">
      <c r="A396" s="21"/>
    </row>
    <row r="397" spans="1:1" ht="13">
      <c r="A397" s="21"/>
    </row>
    <row r="398" spans="1:1" ht="13">
      <c r="A398" s="21"/>
    </row>
    <row r="399" spans="1:1" ht="13">
      <c r="A399" s="21"/>
    </row>
    <row r="400" spans="1:1" ht="13">
      <c r="A400" s="21"/>
    </row>
    <row r="401" spans="1:1" ht="13">
      <c r="A401" s="21"/>
    </row>
    <row r="402" spans="1:1" ht="13">
      <c r="A402" s="21"/>
    </row>
    <row r="403" spans="1:1" ht="13">
      <c r="A403" s="21"/>
    </row>
    <row r="404" spans="1:1" ht="13">
      <c r="A404" s="21"/>
    </row>
    <row r="405" spans="1:1" ht="13">
      <c r="A405" s="21"/>
    </row>
    <row r="406" spans="1:1" ht="13">
      <c r="A406" s="21"/>
    </row>
    <row r="407" spans="1:1" ht="13">
      <c r="A407" s="21"/>
    </row>
    <row r="408" spans="1:1" ht="13">
      <c r="A408" s="21"/>
    </row>
    <row r="409" spans="1:1" ht="13">
      <c r="A409" s="21"/>
    </row>
    <row r="410" spans="1:1" ht="13">
      <c r="A410" s="21"/>
    </row>
    <row r="411" spans="1:1" ht="13">
      <c r="A411" s="21"/>
    </row>
    <row r="412" spans="1:1" ht="13">
      <c r="A412" s="21"/>
    </row>
    <row r="413" spans="1:1" ht="13">
      <c r="A413" s="21"/>
    </row>
    <row r="414" spans="1:1" ht="13">
      <c r="A414" s="21"/>
    </row>
    <row r="415" spans="1:1" ht="13">
      <c r="A415" s="21"/>
    </row>
    <row r="416" spans="1:1" ht="13">
      <c r="A416" s="21"/>
    </row>
    <row r="417" spans="1:1" ht="13">
      <c r="A417" s="21"/>
    </row>
    <row r="418" spans="1:1" ht="13">
      <c r="A418" s="21"/>
    </row>
    <row r="419" spans="1:1" ht="13">
      <c r="A419" s="21"/>
    </row>
    <row r="420" spans="1:1" ht="13">
      <c r="A420" s="21"/>
    </row>
    <row r="421" spans="1:1" ht="13">
      <c r="A421" s="21"/>
    </row>
    <row r="422" spans="1:1" ht="13">
      <c r="A422" s="21"/>
    </row>
    <row r="423" spans="1:1" ht="13">
      <c r="A423" s="21"/>
    </row>
    <row r="424" spans="1:1" ht="13">
      <c r="A424" s="21"/>
    </row>
    <row r="425" spans="1:1" ht="13">
      <c r="A425" s="21"/>
    </row>
    <row r="426" spans="1:1" ht="13">
      <c r="A426" s="21"/>
    </row>
    <row r="427" spans="1:1" ht="13">
      <c r="A427" s="21"/>
    </row>
    <row r="428" spans="1:1" ht="13">
      <c r="A428" s="21"/>
    </row>
    <row r="429" spans="1:1" ht="13">
      <c r="A429" s="21"/>
    </row>
    <row r="430" spans="1:1" ht="13">
      <c r="A430" s="21"/>
    </row>
    <row r="431" spans="1:1" ht="13">
      <c r="A431" s="21"/>
    </row>
    <row r="432" spans="1:1" ht="13">
      <c r="A432" s="21"/>
    </row>
    <row r="433" spans="1:1" ht="13">
      <c r="A433" s="21"/>
    </row>
    <row r="434" spans="1:1" ht="13">
      <c r="A434" s="21"/>
    </row>
    <row r="435" spans="1:1" ht="13">
      <c r="A435" s="21"/>
    </row>
    <row r="436" spans="1:1" ht="13">
      <c r="A436" s="21"/>
    </row>
    <row r="437" spans="1:1" ht="13">
      <c r="A437" s="21"/>
    </row>
    <row r="438" spans="1:1" ht="13">
      <c r="A438" s="21"/>
    </row>
    <row r="439" spans="1:1" ht="13">
      <c r="A439" s="21"/>
    </row>
    <row r="440" spans="1:1" ht="13">
      <c r="A440" s="21"/>
    </row>
    <row r="441" spans="1:1" ht="13">
      <c r="A441" s="21"/>
    </row>
    <row r="442" spans="1:1" ht="13">
      <c r="A442" s="21"/>
    </row>
    <row r="443" spans="1:1" ht="13">
      <c r="A443" s="21"/>
    </row>
    <row r="444" spans="1:1" ht="13">
      <c r="A444" s="21"/>
    </row>
    <row r="445" spans="1:1" ht="13">
      <c r="A445" s="21"/>
    </row>
    <row r="446" spans="1:1" ht="13">
      <c r="A446" s="21"/>
    </row>
    <row r="447" spans="1:1" ht="13">
      <c r="A447" s="21"/>
    </row>
    <row r="448" spans="1:1" ht="13">
      <c r="A448" s="21"/>
    </row>
    <row r="449" spans="1:1" ht="13">
      <c r="A449" s="21"/>
    </row>
    <row r="450" spans="1:1" ht="13">
      <c r="A450" s="21"/>
    </row>
    <row r="451" spans="1:1" ht="13">
      <c r="A451" s="21"/>
    </row>
    <row r="452" spans="1:1" ht="13">
      <c r="A452" s="21"/>
    </row>
    <row r="453" spans="1:1" ht="13">
      <c r="A453" s="21"/>
    </row>
    <row r="454" spans="1:1" ht="13">
      <c r="A454" s="21"/>
    </row>
    <row r="455" spans="1:1" ht="13">
      <c r="A455" s="21"/>
    </row>
    <row r="456" spans="1:1" ht="13">
      <c r="A456" s="21"/>
    </row>
    <row r="457" spans="1:1" ht="13">
      <c r="A457" s="21"/>
    </row>
    <row r="458" spans="1:1" ht="13">
      <c r="A458" s="21"/>
    </row>
    <row r="459" spans="1:1" ht="13">
      <c r="A459" s="21"/>
    </row>
    <row r="460" spans="1:1" ht="13">
      <c r="A460" s="21"/>
    </row>
    <row r="461" spans="1:1" ht="13">
      <c r="A461" s="21"/>
    </row>
    <row r="462" spans="1:1" ht="13">
      <c r="A462" s="21"/>
    </row>
    <row r="463" spans="1:1" ht="13">
      <c r="A463" s="21"/>
    </row>
    <row r="464" spans="1:1" ht="13">
      <c r="A464" s="21"/>
    </row>
    <row r="465" spans="1:1" ht="13">
      <c r="A465" s="21"/>
    </row>
    <row r="466" spans="1:1" ht="13">
      <c r="A466" s="21"/>
    </row>
    <row r="467" spans="1:1" ht="13">
      <c r="A467" s="21"/>
    </row>
    <row r="468" spans="1:1" ht="13">
      <c r="A468" s="21"/>
    </row>
    <row r="469" spans="1:1" ht="13">
      <c r="A469" s="21"/>
    </row>
    <row r="470" spans="1:1" ht="13">
      <c r="A470" s="21"/>
    </row>
    <row r="471" spans="1:1" ht="13">
      <c r="A471" s="21"/>
    </row>
    <row r="472" spans="1:1" ht="13">
      <c r="A472" s="21"/>
    </row>
    <row r="473" spans="1:1" ht="13">
      <c r="A473" s="21"/>
    </row>
    <row r="474" spans="1:1" ht="13">
      <c r="A474" s="21"/>
    </row>
    <row r="475" spans="1:1" ht="13">
      <c r="A475" s="21"/>
    </row>
    <row r="476" spans="1:1" ht="13">
      <c r="A476" s="21"/>
    </row>
    <row r="477" spans="1:1" ht="13">
      <c r="A477" s="21"/>
    </row>
    <row r="478" spans="1:1" ht="13">
      <c r="A478" s="21"/>
    </row>
    <row r="479" spans="1:1" ht="13">
      <c r="A479" s="21"/>
    </row>
    <row r="480" spans="1:1" ht="13">
      <c r="A480" s="21"/>
    </row>
    <row r="481" spans="1:1" ht="13">
      <c r="A481" s="21"/>
    </row>
    <row r="482" spans="1:1" ht="13">
      <c r="A482" s="21"/>
    </row>
    <row r="483" spans="1:1" ht="13">
      <c r="A483" s="21"/>
    </row>
    <row r="484" spans="1:1" ht="13">
      <c r="A484" s="21"/>
    </row>
    <row r="485" spans="1:1" ht="13">
      <c r="A485" s="21"/>
    </row>
    <row r="486" spans="1:1" ht="13">
      <c r="A486" s="21"/>
    </row>
    <row r="487" spans="1:1" ht="13">
      <c r="A487" s="21"/>
    </row>
    <row r="488" spans="1:1" ht="13">
      <c r="A488" s="21"/>
    </row>
    <row r="489" spans="1:1" ht="13">
      <c r="A489" s="21"/>
    </row>
    <row r="490" spans="1:1" ht="13">
      <c r="A490" s="21"/>
    </row>
    <row r="491" spans="1:1" ht="13">
      <c r="A491" s="21"/>
    </row>
    <row r="492" spans="1:1" ht="13">
      <c r="A492" s="21"/>
    </row>
    <row r="493" spans="1:1" ht="13">
      <c r="A493" s="21"/>
    </row>
    <row r="494" spans="1:1" ht="13">
      <c r="A494" s="21"/>
    </row>
    <row r="495" spans="1:1" ht="13">
      <c r="A495" s="21"/>
    </row>
    <row r="496" spans="1:1" ht="13">
      <c r="A496" s="21"/>
    </row>
    <row r="497" spans="1:1" ht="13">
      <c r="A497" s="21"/>
    </row>
    <row r="498" spans="1:1" ht="13">
      <c r="A498" s="21"/>
    </row>
    <row r="499" spans="1:1" ht="13">
      <c r="A499" s="21"/>
    </row>
    <row r="500" spans="1:1" ht="13">
      <c r="A500" s="21"/>
    </row>
    <row r="501" spans="1:1" ht="13">
      <c r="A501" s="21"/>
    </row>
    <row r="502" spans="1:1" ht="13">
      <c r="A502" s="21"/>
    </row>
    <row r="503" spans="1:1" ht="13">
      <c r="A503" s="21"/>
    </row>
    <row r="504" spans="1:1" ht="13">
      <c r="A504" s="21"/>
    </row>
    <row r="505" spans="1:1" ht="13">
      <c r="A505" s="21"/>
    </row>
    <row r="506" spans="1:1" ht="13">
      <c r="A506" s="21"/>
    </row>
    <row r="507" spans="1:1" ht="13">
      <c r="A507" s="21"/>
    </row>
    <row r="508" spans="1:1" ht="13">
      <c r="A508" s="21"/>
    </row>
    <row r="509" spans="1:1" ht="13">
      <c r="A509" s="21"/>
    </row>
    <row r="510" spans="1:1" ht="13">
      <c r="A510" s="21"/>
    </row>
    <row r="511" spans="1:1" ht="13">
      <c r="A511" s="21"/>
    </row>
    <row r="512" spans="1:1" ht="13">
      <c r="A512" s="21"/>
    </row>
    <row r="513" spans="1:1" ht="13">
      <c r="A513" s="21"/>
    </row>
    <row r="514" spans="1:1" ht="13">
      <c r="A514" s="21"/>
    </row>
    <row r="515" spans="1:1" ht="13">
      <c r="A515" s="21"/>
    </row>
    <row r="516" spans="1:1" ht="13">
      <c r="A516" s="21"/>
    </row>
    <row r="517" spans="1:1" ht="13">
      <c r="A517" s="21"/>
    </row>
    <row r="518" spans="1:1" ht="13">
      <c r="A518" s="21"/>
    </row>
    <row r="519" spans="1:1" ht="13">
      <c r="A519" s="21"/>
    </row>
    <row r="520" spans="1:1" ht="13">
      <c r="A520" s="21"/>
    </row>
    <row r="521" spans="1:1" ht="13">
      <c r="A521" s="21"/>
    </row>
    <row r="522" spans="1:1" ht="13">
      <c r="A522" s="21"/>
    </row>
    <row r="523" spans="1:1" ht="13">
      <c r="A523" s="21"/>
    </row>
    <row r="524" spans="1:1" ht="13">
      <c r="A524" s="21"/>
    </row>
    <row r="525" spans="1:1" ht="13">
      <c r="A525" s="21"/>
    </row>
    <row r="526" spans="1:1" ht="13">
      <c r="A526" s="21"/>
    </row>
    <row r="527" spans="1:1" ht="13">
      <c r="A527" s="21"/>
    </row>
    <row r="528" spans="1:1" ht="13">
      <c r="A528" s="21"/>
    </row>
    <row r="529" spans="1:1" ht="13">
      <c r="A529" s="21"/>
    </row>
    <row r="530" spans="1:1" ht="13">
      <c r="A530" s="21"/>
    </row>
    <row r="531" spans="1:1" ht="13">
      <c r="A531" s="21"/>
    </row>
    <row r="532" spans="1:1" ht="13">
      <c r="A532" s="21"/>
    </row>
    <row r="533" spans="1:1" ht="13">
      <c r="A533" s="21"/>
    </row>
    <row r="534" spans="1:1" ht="13">
      <c r="A534" s="21"/>
    </row>
    <row r="535" spans="1:1" ht="13">
      <c r="A535" s="21"/>
    </row>
    <row r="536" spans="1:1" ht="13">
      <c r="A536" s="21"/>
    </row>
    <row r="537" spans="1:1" ht="13">
      <c r="A537" s="21"/>
    </row>
    <row r="538" spans="1:1" ht="13">
      <c r="A538" s="21"/>
    </row>
    <row r="539" spans="1:1" ht="13">
      <c r="A539" s="21"/>
    </row>
    <row r="540" spans="1:1" ht="13">
      <c r="A540" s="21"/>
    </row>
    <row r="541" spans="1:1" ht="13">
      <c r="A541" s="21"/>
    </row>
  </sheetData>
  <mergeCells count="2">
    <mergeCell ref="A1:H1"/>
    <mergeCell ref="B2:F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81">
    <tabColor rgb="FF0070C0"/>
  </sheetPr>
  <dimension ref="A1:AC62"/>
  <sheetViews>
    <sheetView zoomScaleNormal="100" workbookViewId="0">
      <selection activeCell="L9" sqref="L9"/>
    </sheetView>
  </sheetViews>
  <sheetFormatPr defaultRowHeight="12.5"/>
  <cols>
    <col min="1" max="1" width="32.7265625" customWidth="1"/>
    <col min="2" max="2" width="12.81640625" customWidth="1"/>
    <col min="3" max="4" width="8.7265625" customWidth="1"/>
    <col min="5" max="5" width="11.7265625" customWidth="1"/>
    <col min="6" max="6" width="12.81640625" customWidth="1"/>
    <col min="7" max="8" width="11.54296875" customWidth="1"/>
    <col min="9" max="9" width="11.453125" customWidth="1"/>
    <col min="10" max="10" width="12.81640625" customWidth="1"/>
    <col min="11" max="12" width="10.1796875" customWidth="1"/>
    <col min="13" max="13" width="11.7265625" customWidth="1"/>
    <col min="14" max="14" width="12.81640625" customWidth="1"/>
    <col min="15" max="16" width="11.26953125" customWidth="1"/>
    <col min="17" max="21" width="12.54296875" customWidth="1"/>
    <col min="22" max="22" width="12.81640625" customWidth="1"/>
    <col min="23" max="24" width="11.453125" customWidth="1"/>
    <col min="25" max="25" width="13" customWidth="1"/>
    <col min="26" max="26" width="12.81640625" customWidth="1"/>
    <col min="27" max="28" width="11.26953125" customWidth="1"/>
    <col min="29" max="29" width="10.26953125" customWidth="1"/>
  </cols>
  <sheetData>
    <row r="1" spans="1:29" ht="18.5" thickBot="1">
      <c r="A1" s="750" t="s">
        <v>289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29" ht="13.5" thickBot="1">
      <c r="A2" s="479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290</v>
      </c>
      <c r="AA2" s="744"/>
      <c r="AB2" s="744"/>
      <c r="AC2" s="746"/>
    </row>
    <row r="3" spans="1:29" ht="13">
      <c r="A3" s="342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3"/>
      <c r="R3" s="745" t="s">
        <v>118</v>
      </c>
      <c r="S3" s="752"/>
      <c r="T3" s="752"/>
      <c r="U3" s="753"/>
      <c r="V3" s="756"/>
      <c r="W3" s="756"/>
      <c r="X3" s="756"/>
      <c r="Y3" s="757"/>
      <c r="Z3" s="755"/>
      <c r="AA3" s="756"/>
      <c r="AB3" s="756"/>
      <c r="AC3" s="757"/>
    </row>
    <row r="4" spans="1:29" ht="13.5" thickBot="1">
      <c r="A4" s="480" t="s">
        <v>4</v>
      </c>
      <c r="B4" s="480" t="s">
        <v>36</v>
      </c>
      <c r="C4" s="481" t="s">
        <v>37</v>
      </c>
      <c r="D4" s="481" t="s">
        <v>38</v>
      </c>
      <c r="E4" s="482" t="s">
        <v>41</v>
      </c>
      <c r="F4" s="480" t="s">
        <v>36</v>
      </c>
      <c r="G4" s="481" t="s">
        <v>37</v>
      </c>
      <c r="H4" s="481" t="s">
        <v>38</v>
      </c>
      <c r="I4" s="482" t="s">
        <v>41</v>
      </c>
      <c r="J4" s="481" t="s">
        <v>36</v>
      </c>
      <c r="K4" s="481" t="s">
        <v>37</v>
      </c>
      <c r="L4" s="481" t="s">
        <v>38</v>
      </c>
      <c r="M4" s="482" t="s">
        <v>41</v>
      </c>
      <c r="N4" s="480" t="s">
        <v>36</v>
      </c>
      <c r="O4" s="481" t="s">
        <v>37</v>
      </c>
      <c r="P4" s="481" t="s">
        <v>38</v>
      </c>
      <c r="Q4" s="482" t="s">
        <v>41</v>
      </c>
      <c r="R4" s="480" t="s">
        <v>36</v>
      </c>
      <c r="S4" s="481" t="s">
        <v>37</v>
      </c>
      <c r="T4" s="481" t="s">
        <v>38</v>
      </c>
      <c r="U4" s="482" t="s">
        <v>41</v>
      </c>
      <c r="V4" s="481" t="s">
        <v>36</v>
      </c>
      <c r="W4" s="481" t="s">
        <v>37</v>
      </c>
      <c r="X4" s="481" t="s">
        <v>38</v>
      </c>
      <c r="Y4" s="482" t="s">
        <v>41</v>
      </c>
      <c r="Z4" s="480" t="s">
        <v>36</v>
      </c>
      <c r="AA4" s="481" t="s">
        <v>37</v>
      </c>
      <c r="AB4" s="481" t="s">
        <v>38</v>
      </c>
      <c r="AC4" s="482" t="s">
        <v>41</v>
      </c>
    </row>
    <row r="5" spans="1:29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 ht="1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 ht="13">
      <c r="A7" s="124" t="s">
        <v>5</v>
      </c>
      <c r="B7" s="109">
        <f>'Sch TOU-PA Cust Fcst'!B6*'Non-Residential TSM UC Adj'!B7</f>
        <v>0</v>
      </c>
      <c r="C7" s="23">
        <f>'Sch TOU-PA Cust Fcst'!B6*'Non-Residential TSM UC Adj'!C7</f>
        <v>0</v>
      </c>
      <c r="D7" s="23">
        <f>'Sch TOU-PA Cust Fcst'!B6*'Non-Residential TSM UC Adj'!D7</f>
        <v>0</v>
      </c>
      <c r="E7" s="41">
        <f>IF(SUM(B7:D7)=0,0,SUM(B7:D7)/'Sch TOU-PA Cust Fcst'!B6)</f>
        <v>0</v>
      </c>
      <c r="F7" s="109">
        <f>'Sch TOU-PA Cust Fcst'!C6*'Non-Residential TSM UC Adj'!F7</f>
        <v>0</v>
      </c>
      <c r="G7" s="23">
        <f>'Sch TOU-PA Cust Fcst'!C6*'Non-Residential TSM UC Adj'!G7</f>
        <v>0</v>
      </c>
      <c r="H7" s="23">
        <f>'Sch TOU-PA Cust Fcst'!C6*'Non-Residential TSM UC Adj'!H7</f>
        <v>0</v>
      </c>
      <c r="I7" s="41">
        <f>IF(SUM(F7:H7)=0,0,SUM(F7:H7)/'Sch TOU-PA Cust Fcst'!C6)</f>
        <v>0</v>
      </c>
      <c r="J7" s="109">
        <f>'Sch TOU-PA Cust Fcst'!D6*'Non-Residential TSM UC Adj'!J7</f>
        <v>0</v>
      </c>
      <c r="K7" s="23">
        <f>'Sch TOU-PA Cust Fcst'!D6*'Non-Residential TSM UC Adj'!K7</f>
        <v>0</v>
      </c>
      <c r="L7" s="23">
        <f>'Sch TOU-PA Cust Fcst'!D6*'Non-Residential TSM UC Adj'!L7</f>
        <v>0</v>
      </c>
      <c r="M7" s="41">
        <f>IF(SUM(J7:L7)=0,0,SUM(J7:L7)/'Sch TOU-PA Cust Fcst'!D6)</f>
        <v>0</v>
      </c>
      <c r="N7" s="109">
        <f>'Sch TOU-PA Cust Fcst'!E6*'Non-Residential TSM UC Adj'!N7</f>
        <v>0</v>
      </c>
      <c r="O7" s="23">
        <f>'Sch TOU-PA Cust Fcst'!E6*'Non-Residential TSM UC Adj'!O7</f>
        <v>0</v>
      </c>
      <c r="P7" s="23">
        <f>'Sch TOU-PA Cust Fcst'!E6*'Non-Residential TSM UC Adj'!P7</f>
        <v>0</v>
      </c>
      <c r="Q7" s="41">
        <f>IF(SUM(N7:P7)=0,0,SUM(N7:P7)/'Sch TOU-PA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TOU-PA Cust Fcst'!F6)</f>
        <v>0</v>
      </c>
      <c r="V7" s="33">
        <f>'Sch TOU-PA Cust Fcst'!G6*'Non-Residential TSM UC Adj'!R7</f>
        <v>0</v>
      </c>
      <c r="W7" s="23">
        <f>'Sch TOU-PA Cust Fcst'!G6*'Non-Residential TSM UC Adj'!S7</f>
        <v>0</v>
      </c>
      <c r="X7" s="23">
        <f>'Sch TOU-PA Cust Fcst'!G6*'Non-Residential TSM UC Adj'!T7</f>
        <v>0</v>
      </c>
      <c r="Y7" s="41">
        <f>IF(SUM(V7:X7)=0,0,SUM(V7:X7)/'Sch TOU-PA Cust Fcst'!G6)</f>
        <v>0</v>
      </c>
      <c r="Z7" s="23">
        <f>R7+V7</f>
        <v>0</v>
      </c>
      <c r="AA7" s="23">
        <f>S7+W7</f>
        <v>0</v>
      </c>
      <c r="AB7" s="23">
        <f>T7+X7</f>
        <v>0</v>
      </c>
      <c r="AC7" s="41">
        <f>IF(SUM(Z7:AB7)=0,0,SUM(Z7:AB7)/'Sch TOU-PA Cust Fcst'!H6)</f>
        <v>0</v>
      </c>
    </row>
    <row r="8" spans="1:29" ht="13">
      <c r="A8" s="125" t="s">
        <v>6</v>
      </c>
      <c r="B8" s="109">
        <f>'Sch TOU-PA Cust Fcst'!B7*'Non-Residential TSM UC Adj'!B8</f>
        <v>0</v>
      </c>
      <c r="C8" s="23">
        <f>'Sch TOU-PA Cust Fcst'!B7*'Non-Residential TSM UC Adj'!C8</f>
        <v>0</v>
      </c>
      <c r="D8" s="23">
        <f>'Sch TOU-PA Cust Fcst'!B7*'Non-Residential TSM UC Adj'!D8</f>
        <v>0</v>
      </c>
      <c r="E8" s="41">
        <f>IF(SUM(B8:D8)=0,0,SUM(B8:D8)/'Sch TOU-PA Cust Fcst'!B7)</f>
        <v>0</v>
      </c>
      <c r="F8" s="109">
        <f>'Sch TOU-PA Cust Fcst'!C7*'Non-Residential TSM UC Adj'!F8</f>
        <v>0</v>
      </c>
      <c r="G8" s="23">
        <f>'Sch TOU-PA Cust Fcst'!C7*'Non-Residential TSM UC Adj'!G8</f>
        <v>0</v>
      </c>
      <c r="H8" s="23">
        <f>'Sch TOU-PA Cust Fcst'!C7*'Non-Residential TSM UC Adj'!H8</f>
        <v>0</v>
      </c>
      <c r="I8" s="41">
        <f>IF(SUM(F8:H8)=0,0,SUM(F8:H8)/'Sch TOU-PA Cust Fcst'!C7)</f>
        <v>0</v>
      </c>
      <c r="J8" s="109">
        <f>'Sch TOU-PA Cust Fcst'!D7*'Non-Residential TSM UC Adj'!J8</f>
        <v>0</v>
      </c>
      <c r="K8" s="23">
        <f>'Sch TOU-PA Cust Fcst'!D7*'Non-Residential TSM UC Adj'!K8</f>
        <v>0</v>
      </c>
      <c r="L8" s="23">
        <f>'Sch TOU-PA Cust Fcst'!D7*'Non-Residential TSM UC Adj'!L8</f>
        <v>0</v>
      </c>
      <c r="M8" s="41">
        <f>IF(SUM(J8:L8)=0,0,SUM(J8:L8)/'Sch TOU-PA Cust Fcst'!D7)</f>
        <v>0</v>
      </c>
      <c r="N8" s="109">
        <f>'Sch TOU-PA Cust Fcst'!E7*'Non-Residential TSM UC Adj'!N8</f>
        <v>1250.7417533879686</v>
      </c>
      <c r="O8" s="23">
        <f>'Sch TOU-PA Cust Fcst'!E7*'Non-Residential TSM UC Adj'!O8</f>
        <v>609.82032510065369</v>
      </c>
      <c r="P8" s="23">
        <f>'Sch TOU-PA Cust Fcst'!E7*'Non-Residential TSM UC Adj'!P8</f>
        <v>301.76349896014176</v>
      </c>
      <c r="Q8" s="41">
        <f>IF(SUM(N8:P8)=0,0,SUM(N8:P8)/'Sch TOU-PA Cust Fcst'!E7)</f>
        <v>2162.3255774487643</v>
      </c>
      <c r="R8" s="109">
        <f t="shared" ref="R8:T37" si="0">B8+F8+J8+N8</f>
        <v>1250.7417533879686</v>
      </c>
      <c r="S8" s="23">
        <f t="shared" si="0"/>
        <v>609.82032510065369</v>
      </c>
      <c r="T8" s="23">
        <f t="shared" si="0"/>
        <v>301.76349896014176</v>
      </c>
      <c r="U8" s="41">
        <f>IF(SUM(R8:T8)=0,0,SUM(R8:T8)/'Sch TOU-PA Cust Fcst'!F7)</f>
        <v>2162.3255774487643</v>
      </c>
      <c r="V8" s="33">
        <f>'Sch TOU-PA Cust Fcst'!G7*'Non-Residential TSM UC Adj'!R8</f>
        <v>0</v>
      </c>
      <c r="W8" s="23">
        <f>'Sch TOU-PA Cust Fcst'!G7*'Non-Residential TSM UC Adj'!S8</f>
        <v>0</v>
      </c>
      <c r="X8" s="23">
        <f>'Sch TOU-PA Cust Fcst'!G7*'Non-Residential TSM UC Adj'!T8</f>
        <v>0</v>
      </c>
      <c r="Y8" s="41">
        <f>IF(SUM(V8:X8)=0,0,SUM(V8:X8)/'Sch TOU-PA Cust Fcst'!G7)</f>
        <v>0</v>
      </c>
      <c r="Z8" s="23">
        <f t="shared" ref="Z8:AB37" si="1">R8+V8</f>
        <v>1250.7417533879686</v>
      </c>
      <c r="AA8" s="23">
        <f t="shared" si="1"/>
        <v>609.82032510065369</v>
      </c>
      <c r="AB8" s="23">
        <f t="shared" si="1"/>
        <v>301.76349896014176</v>
      </c>
      <c r="AC8" s="41">
        <f>IF(SUM(Z8:AB8)=0,0,SUM(Z8:AB8)/'Sch TOU-PA Cust Fcst'!H7)</f>
        <v>2162.3255774487643</v>
      </c>
    </row>
    <row r="9" spans="1:29" ht="13">
      <c r="A9" s="126" t="s">
        <v>7</v>
      </c>
      <c r="B9" s="109">
        <f>'Sch TOU-PA Cust Fcst'!B8*'Non-Residential TSM UC Adj'!B9</f>
        <v>0</v>
      </c>
      <c r="C9" s="23">
        <f>'Sch TOU-PA Cust Fcst'!B8*'Non-Residential TSM UC Adj'!C9</f>
        <v>0</v>
      </c>
      <c r="D9" s="23">
        <f>'Sch TOU-PA Cust Fcst'!B8*'Non-Residential TSM UC Adj'!D9</f>
        <v>0</v>
      </c>
      <c r="E9" s="41">
        <f>IF(SUM(B9:D9)=0,0,SUM(B9:D9)/'Sch TOU-PA Cust Fcst'!B8)</f>
        <v>0</v>
      </c>
      <c r="F9" s="109">
        <f>'Sch TOU-PA Cust Fcst'!C8*'Non-Residential TSM UC Adj'!F9</f>
        <v>2016.8186560564311</v>
      </c>
      <c r="G9" s="23">
        <f>'Sch TOU-PA Cust Fcst'!C8*'Non-Residential TSM UC Adj'!G9</f>
        <v>718.29191911453245</v>
      </c>
      <c r="H9" s="23">
        <f>'Sch TOU-PA Cust Fcst'!C8*'Non-Residential TSM UC Adj'!H9</f>
        <v>301.76349896014176</v>
      </c>
      <c r="I9" s="41">
        <f>IF(SUM(F9:H9)=0,0,SUM(F9:H9)/'Sch TOU-PA Cust Fcst'!C8)</f>
        <v>3036.8740741311058</v>
      </c>
      <c r="J9" s="109">
        <f>'Sch TOU-PA Cust Fcst'!D8*'Non-Residential TSM UC Adj'!J9</f>
        <v>0</v>
      </c>
      <c r="K9" s="23">
        <f>'Sch TOU-PA Cust Fcst'!D8*'Non-Residential TSM UC Adj'!K9</f>
        <v>0</v>
      </c>
      <c r="L9" s="23">
        <f>'Sch TOU-PA Cust Fcst'!D8*'Non-Residential TSM UC Adj'!L9</f>
        <v>0</v>
      </c>
      <c r="M9" s="41">
        <f>IF(SUM(J9:L9)=0,0,SUM(J9:L9)/'Sch TOU-PA Cust Fcst'!D8)</f>
        <v>0</v>
      </c>
      <c r="N9" s="109">
        <f>'Sch TOU-PA Cust Fcst'!E8*'Non-Residential TSM UC Adj'!N9</f>
        <v>0</v>
      </c>
      <c r="O9" s="23">
        <f>'Sch TOU-PA Cust Fcst'!E8*'Non-Residential TSM UC Adj'!O9</f>
        <v>0</v>
      </c>
      <c r="P9" s="23">
        <f>'Sch TOU-PA Cust Fcst'!E8*'Non-Residential TSM UC Adj'!P9</f>
        <v>0</v>
      </c>
      <c r="Q9" s="41">
        <f>IF(SUM(N9:P9)=0,0,SUM(N9:P9)/'Sch TOU-PA Cust Fcst'!E8)</f>
        <v>0</v>
      </c>
      <c r="R9" s="109">
        <f t="shared" si="0"/>
        <v>2016.8186560564311</v>
      </c>
      <c r="S9" s="23">
        <f t="shared" si="0"/>
        <v>718.29191911453245</v>
      </c>
      <c r="T9" s="23">
        <f t="shared" si="0"/>
        <v>301.76349896014176</v>
      </c>
      <c r="U9" s="41">
        <f>IF(SUM(R9:T9)=0,0,SUM(R9:T9)/'Sch TOU-PA Cust Fcst'!F8)</f>
        <v>3036.8740741311058</v>
      </c>
      <c r="V9" s="33">
        <f>'Sch TOU-PA Cust Fcst'!G8*'Non-Residential TSM UC Adj'!R9</f>
        <v>0</v>
      </c>
      <c r="W9" s="23">
        <f>'Sch TOU-PA Cust Fcst'!G8*'Non-Residential TSM UC Adj'!S9</f>
        <v>0</v>
      </c>
      <c r="X9" s="23">
        <f>'Sch TOU-PA Cust Fcst'!G8*'Non-Residential TSM UC Adj'!T9</f>
        <v>0</v>
      </c>
      <c r="Y9" s="41">
        <f>IF(SUM(V9:X9)=0,0,SUM(V9:X9)/'Sch TOU-PA Cust Fcst'!G8)</f>
        <v>0</v>
      </c>
      <c r="Z9" s="23">
        <f t="shared" si="1"/>
        <v>2016.8186560564311</v>
      </c>
      <c r="AA9" s="23">
        <f t="shared" si="1"/>
        <v>718.29191911453245</v>
      </c>
      <c r="AB9" s="23">
        <f t="shared" si="1"/>
        <v>301.76349896014176</v>
      </c>
      <c r="AC9" s="41">
        <f>IF(SUM(Z9:AB9)=0,0,SUM(Z9:AB9)/'Sch TOU-PA Cust Fcst'!H8)</f>
        <v>3036.8740741311058</v>
      </c>
    </row>
    <row r="10" spans="1:29" ht="13">
      <c r="A10" s="126" t="s">
        <v>183</v>
      </c>
      <c r="B10" s="109">
        <f>'Sch TOU-PA Cust Fcst'!B9*'Non-Residential TSM UC Adj'!B10</f>
        <v>0</v>
      </c>
      <c r="C10" s="23">
        <f>'Sch TOU-PA Cust Fcst'!B9*'Non-Residential TSM UC Adj'!C10</f>
        <v>0</v>
      </c>
      <c r="D10" s="23">
        <f>'Sch TOU-PA Cust Fcst'!B9*'Non-Residential TSM UC Adj'!D10</f>
        <v>0</v>
      </c>
      <c r="E10" s="41">
        <f>IF(SUM(B10:D10)=0,0,SUM(B10:D10)/'Sch TOU-PA Cust Fcst'!B9)</f>
        <v>0</v>
      </c>
      <c r="F10" s="109">
        <f>'Sch TOU-PA Cust Fcst'!C9*'Non-Residential TSM UC Adj'!F10</f>
        <v>0</v>
      </c>
      <c r="G10" s="23">
        <f>'Sch TOU-PA Cust Fcst'!C9*'Non-Residential TSM UC Adj'!G10</f>
        <v>0</v>
      </c>
      <c r="H10" s="23">
        <f>'Sch TOU-PA Cust Fcst'!C9*'Non-Residential TSM UC Adj'!H10</f>
        <v>0</v>
      </c>
      <c r="I10" s="41">
        <f>IF(SUM(F10:H10)=0,0,SUM(F10:H10)/'Sch TOU-PA Cust Fcst'!C9)</f>
        <v>0</v>
      </c>
      <c r="J10" s="109">
        <f>'Sch TOU-PA Cust Fcst'!D9*'Non-Residential TSM UC Adj'!J10</f>
        <v>0</v>
      </c>
      <c r="K10" s="23">
        <f>'Sch TOU-PA Cust Fcst'!D9*'Non-Residential TSM UC Adj'!K10</f>
        <v>0</v>
      </c>
      <c r="L10" s="23">
        <f>'Sch TOU-PA Cust Fcst'!D9*'Non-Residential TSM UC Adj'!L10</f>
        <v>0</v>
      </c>
      <c r="M10" s="41">
        <f>IF(SUM(J10:L10)=0,0,SUM(J10:L10)/'Sch TOU-PA Cust Fcst'!D9)</f>
        <v>0</v>
      </c>
      <c r="N10" s="109">
        <f>'Sch TOU-PA Cust Fcst'!E9*'Non-Residential TSM UC Adj'!N10</f>
        <v>0</v>
      </c>
      <c r="O10" s="23">
        <f>'Sch TOU-PA Cust Fcst'!E9*'Non-Residential TSM UC Adj'!O10</f>
        <v>0</v>
      </c>
      <c r="P10" s="23">
        <f>'Sch TOU-PA Cust Fcst'!E9*'Non-Residential TSM UC Adj'!P10</f>
        <v>0</v>
      </c>
      <c r="Q10" s="41">
        <f>IF(SUM(N10:P10)=0,0,SUM(N10:P10)/'Sch TOU-PA Cust Fcst'!E9)</f>
        <v>0</v>
      </c>
      <c r="R10" s="109">
        <f t="shared" si="0"/>
        <v>0</v>
      </c>
      <c r="S10" s="23">
        <f t="shared" si="0"/>
        <v>0</v>
      </c>
      <c r="T10" s="23">
        <f t="shared" si="0"/>
        <v>0</v>
      </c>
      <c r="U10" s="41">
        <f>IF(SUM(R10:T10)=0,0,SUM(R10:T10)/'Sch TOU-PA Cust Fcst'!F9)</f>
        <v>0</v>
      </c>
      <c r="V10" s="33">
        <f>'Sch TOU-PA Cust Fcst'!G9*'Non-Residential TSM UC Adj'!R10</f>
        <v>0</v>
      </c>
      <c r="W10" s="23">
        <f>'Sch TOU-PA Cust Fcst'!G9*'Non-Residential TSM UC Adj'!S10</f>
        <v>0</v>
      </c>
      <c r="X10" s="23">
        <f>'Sch TOU-PA Cust Fcst'!G9*'Non-Residential TSM UC Adj'!T10</f>
        <v>0</v>
      </c>
      <c r="Y10" s="41">
        <f>IF(SUM(V10:X10)=0,0,SUM(V10:X10)/'Sch TOU-PA Cust Fcst'!G9)</f>
        <v>0</v>
      </c>
      <c r="Z10" s="23">
        <f t="shared" si="1"/>
        <v>0</v>
      </c>
      <c r="AA10" s="23">
        <f t="shared" si="1"/>
        <v>0</v>
      </c>
      <c r="AB10" s="23">
        <f t="shared" si="1"/>
        <v>0</v>
      </c>
      <c r="AC10" s="41">
        <f>IF(SUM(Z10:AB10)=0,0,SUM(Z10:AB10)/'Sch TOU-PA Cust Fcst'!H9)</f>
        <v>0</v>
      </c>
    </row>
    <row r="11" spans="1:29" ht="13">
      <c r="A11" s="126" t="s">
        <v>184</v>
      </c>
      <c r="B11" s="109">
        <f>'Sch TOU-PA Cust Fcst'!B10*'Non-Residential TSM UC Adj'!B11</f>
        <v>0</v>
      </c>
      <c r="C11" s="23">
        <f>'Sch TOU-PA Cust Fcst'!B10*'Non-Residential TSM UC Adj'!C11</f>
        <v>0</v>
      </c>
      <c r="D11" s="23">
        <f>'Sch TOU-PA Cust Fcst'!B10*'Non-Residential TSM UC Adj'!D11</f>
        <v>0</v>
      </c>
      <c r="E11" s="41">
        <f>IF(SUM(B11:D11)=0,0,SUM(B11:D11)/'Sch TOU-PA Cust Fcst'!B10)</f>
        <v>0</v>
      </c>
      <c r="F11" s="109">
        <f>'Sch TOU-PA Cust Fcst'!C10*'Non-Residential TSM UC Adj'!F11</f>
        <v>0</v>
      </c>
      <c r="G11" s="23">
        <f>'Sch TOU-PA Cust Fcst'!C10*'Non-Residential TSM UC Adj'!G11</f>
        <v>0</v>
      </c>
      <c r="H11" s="23">
        <f>'Sch TOU-PA Cust Fcst'!C10*'Non-Residential TSM UC Adj'!H11</f>
        <v>0</v>
      </c>
      <c r="I11" s="41">
        <f>IF(SUM(F11:H11)=0,0,SUM(F11:H11)/'Sch TOU-PA Cust Fcst'!C10)</f>
        <v>0</v>
      </c>
      <c r="J11" s="109">
        <f>'Sch TOU-PA Cust Fcst'!D10*'Non-Residential TSM UC Adj'!J11</f>
        <v>0</v>
      </c>
      <c r="K11" s="23">
        <f>'Sch TOU-PA Cust Fcst'!D10*'Non-Residential TSM UC Adj'!K11</f>
        <v>0</v>
      </c>
      <c r="L11" s="23">
        <f>'Sch TOU-PA Cust Fcst'!D10*'Non-Residential TSM UC Adj'!L11</f>
        <v>0</v>
      </c>
      <c r="M11" s="41">
        <f>IF(SUM(J11:L11)=0,0,SUM(J11:L11)/'Sch TOU-PA Cust Fcst'!D10)</f>
        <v>0</v>
      </c>
      <c r="N11" s="109">
        <f>'Sch TOU-PA Cust Fcst'!E10*'Non-Residential TSM UC Adj'!N11</f>
        <v>0</v>
      </c>
      <c r="O11" s="23">
        <f>'Sch TOU-PA Cust Fcst'!E10*'Non-Residential TSM UC Adj'!O11</f>
        <v>0</v>
      </c>
      <c r="P11" s="23">
        <f>'Sch TOU-PA Cust Fcst'!E10*'Non-Residential TSM UC Adj'!P11</f>
        <v>0</v>
      </c>
      <c r="Q11" s="41">
        <f>IF(SUM(N11:P11)=0,0,SUM(N11:P11)/'Sch TOU-PA Cust Fcst'!E10)</f>
        <v>0</v>
      </c>
      <c r="R11" s="109">
        <f t="shared" si="0"/>
        <v>0</v>
      </c>
      <c r="S11" s="23">
        <f t="shared" si="0"/>
        <v>0</v>
      </c>
      <c r="T11" s="23">
        <f t="shared" si="0"/>
        <v>0</v>
      </c>
      <c r="U11" s="41">
        <f>IF(SUM(R11:T11)=0,0,SUM(R11:T11)/'Sch TOU-PA Cust Fcst'!F10)</f>
        <v>0</v>
      </c>
      <c r="V11" s="33">
        <f>'Sch TOU-PA Cust Fcst'!G10*'Non-Residential TSM UC Adj'!R11</f>
        <v>0</v>
      </c>
      <c r="W11" s="23">
        <f>'Sch TOU-PA Cust Fcst'!G10*'Non-Residential TSM UC Adj'!S11</f>
        <v>0</v>
      </c>
      <c r="X11" s="23">
        <f>'Sch TOU-PA Cust Fcst'!G10*'Non-Residential TSM UC Adj'!T11</f>
        <v>0</v>
      </c>
      <c r="Y11" s="41">
        <f>IF(SUM(V11:X11)=0,0,SUM(V11:X11)/'Sch TOU-PA Cust Fcst'!G10)</f>
        <v>0</v>
      </c>
      <c r="Z11" s="23">
        <f t="shared" si="1"/>
        <v>0</v>
      </c>
      <c r="AA11" s="23">
        <f t="shared" si="1"/>
        <v>0</v>
      </c>
      <c r="AB11" s="23">
        <f t="shared" si="1"/>
        <v>0</v>
      </c>
      <c r="AC11" s="41">
        <f>IF(SUM(Z11:AB11)=0,0,SUM(Z11:AB11)/'Sch TOU-PA Cust Fcst'!H10)</f>
        <v>0</v>
      </c>
    </row>
    <row r="12" spans="1:29" ht="13">
      <c r="A12" s="126" t="s">
        <v>8</v>
      </c>
      <c r="B12" s="109">
        <f>'Sch TOU-PA Cust Fcst'!B11*'Non-Residential TSM UC Adj'!B12</f>
        <v>0</v>
      </c>
      <c r="C12" s="23">
        <f>'Sch TOU-PA Cust Fcst'!B11*'Non-Residential TSM UC Adj'!C12</f>
        <v>0</v>
      </c>
      <c r="D12" s="23">
        <f>'Sch TOU-PA Cust Fcst'!B11*'Non-Residential TSM UC Adj'!D12</f>
        <v>0</v>
      </c>
      <c r="E12" s="41">
        <f>IF(SUM(B12:D12)=0,0,SUM(B12:D12)/'Sch TOU-PA Cust Fcst'!B11)</f>
        <v>0</v>
      </c>
      <c r="F12" s="109">
        <f>'Sch TOU-PA Cust Fcst'!C11*'Non-Residential TSM UC Adj'!F12</f>
        <v>0</v>
      </c>
      <c r="G12" s="23">
        <f>'Sch TOU-PA Cust Fcst'!C11*'Non-Residential TSM UC Adj'!G12</f>
        <v>0</v>
      </c>
      <c r="H12" s="23">
        <f>'Sch TOU-PA Cust Fcst'!C11*'Non-Residential TSM UC Adj'!H12</f>
        <v>0</v>
      </c>
      <c r="I12" s="41">
        <f>IF(SUM(F12:H12)=0,0,SUM(F12:H12)/'Sch TOU-PA Cust Fcst'!C11)</f>
        <v>0</v>
      </c>
      <c r="J12" s="109">
        <f>'Sch TOU-PA Cust Fcst'!D11*'Non-Residential TSM UC Adj'!J12</f>
        <v>0</v>
      </c>
      <c r="K12" s="23">
        <f>'Sch TOU-PA Cust Fcst'!D11*'Non-Residential TSM UC Adj'!K12</f>
        <v>0</v>
      </c>
      <c r="L12" s="23">
        <f>'Sch TOU-PA Cust Fcst'!D11*'Non-Residential TSM UC Adj'!L12</f>
        <v>0</v>
      </c>
      <c r="M12" s="41">
        <f>IF(SUM(J12:L12)=0,0,SUM(J12:L12)/'Sch TOU-PA Cust Fcst'!D11)</f>
        <v>0</v>
      </c>
      <c r="N12" s="109">
        <f>'Sch TOU-PA Cust Fcst'!E11*'Non-Residential TSM UC Adj'!N12</f>
        <v>0</v>
      </c>
      <c r="O12" s="23">
        <f>'Sch TOU-PA Cust Fcst'!E11*'Non-Residential TSM UC Adj'!O12</f>
        <v>0</v>
      </c>
      <c r="P12" s="23">
        <f>'Sch TOU-PA Cust Fcst'!E11*'Non-Residential TSM UC Adj'!P12</f>
        <v>0</v>
      </c>
      <c r="Q12" s="41">
        <f>IF(SUM(N12:P12)=0,0,SUM(N12:P12)/'Sch TOU-PA Cust Fcst'!E11)</f>
        <v>0</v>
      </c>
      <c r="R12" s="109">
        <f t="shared" si="0"/>
        <v>0</v>
      </c>
      <c r="S12" s="23">
        <f t="shared" si="0"/>
        <v>0</v>
      </c>
      <c r="T12" s="23">
        <f t="shared" si="0"/>
        <v>0</v>
      </c>
      <c r="U12" s="41">
        <f>IF(SUM(R12:T12)=0,0,SUM(R12:T12)/'Sch TOU-PA Cust Fcst'!F11)</f>
        <v>0</v>
      </c>
      <c r="V12" s="33">
        <f>'Sch TOU-PA Cust Fcst'!G11*'Non-Residential TSM UC Adj'!R12</f>
        <v>0</v>
      </c>
      <c r="W12" s="23">
        <f>'Sch TOU-PA Cust Fcst'!G11*'Non-Residential TSM UC Adj'!S12</f>
        <v>0</v>
      </c>
      <c r="X12" s="23">
        <f>'Sch TOU-PA Cust Fcst'!G11*'Non-Residential TSM UC Adj'!T12</f>
        <v>0</v>
      </c>
      <c r="Y12" s="41">
        <f>IF(SUM(V12:X12)=0,0,SUM(V12:X12)/'Sch TOU-PA Cust Fcst'!G11)</f>
        <v>0</v>
      </c>
      <c r="Z12" s="23">
        <f t="shared" si="1"/>
        <v>0</v>
      </c>
      <c r="AA12" s="23">
        <f t="shared" si="1"/>
        <v>0</v>
      </c>
      <c r="AB12" s="23">
        <f t="shared" si="1"/>
        <v>0</v>
      </c>
      <c r="AC12" s="41">
        <f>IF(SUM(Z12:AB12)=0,0,SUM(Z12:AB12)/'Sch TOU-PA Cust Fcst'!H11)</f>
        <v>0</v>
      </c>
    </row>
    <row r="13" spans="1:29" ht="13">
      <c r="A13" s="126" t="s">
        <v>9</v>
      </c>
      <c r="B13" s="109">
        <f>'Sch TOU-PA Cust Fcst'!B12*'Non-Residential TSM UC Adj'!B13</f>
        <v>0</v>
      </c>
      <c r="C13" s="23">
        <f>'Sch TOU-PA Cust Fcst'!B12*'Non-Residential TSM UC Adj'!C13</f>
        <v>0</v>
      </c>
      <c r="D13" s="23">
        <f>'Sch TOU-PA Cust Fcst'!B12*'Non-Residential TSM UC Adj'!D13</f>
        <v>0</v>
      </c>
      <c r="E13" s="41">
        <f>IF(SUM(B13:D13)=0,0,SUM(B13:D13)/'Sch TOU-PA Cust Fcst'!B12)</f>
        <v>0</v>
      </c>
      <c r="F13" s="109">
        <f>'Sch TOU-PA Cust Fcst'!C12*'Non-Residential TSM UC Adj'!F13</f>
        <v>0</v>
      </c>
      <c r="G13" s="23">
        <f>'Sch TOU-PA Cust Fcst'!C12*'Non-Residential TSM UC Adj'!G13</f>
        <v>0</v>
      </c>
      <c r="H13" s="23">
        <f>'Sch TOU-PA Cust Fcst'!C12*'Non-Residential TSM UC Adj'!H13</f>
        <v>0</v>
      </c>
      <c r="I13" s="41">
        <f>IF(SUM(F13:H13)=0,0,SUM(F13:H13)/'Sch TOU-PA Cust Fcst'!C12)</f>
        <v>0</v>
      </c>
      <c r="J13" s="109">
        <f>'Sch TOU-PA Cust Fcst'!D12*'Non-Residential TSM UC Adj'!J13</f>
        <v>0</v>
      </c>
      <c r="K13" s="23">
        <f>'Sch TOU-PA Cust Fcst'!D12*'Non-Residential TSM UC Adj'!K13</f>
        <v>0</v>
      </c>
      <c r="L13" s="23">
        <f>'Sch TOU-PA Cust Fcst'!D12*'Non-Residential TSM UC Adj'!L13</f>
        <v>0</v>
      </c>
      <c r="M13" s="41">
        <f>IF(SUM(J13:L13)=0,0,SUM(J13:L13)/'Sch TOU-PA Cust Fcst'!D12)</f>
        <v>0</v>
      </c>
      <c r="N13" s="109">
        <f>'Sch TOU-PA Cust Fcst'!E12*'Non-Residential TSM UC Adj'!N13</f>
        <v>0</v>
      </c>
      <c r="O13" s="23">
        <f>'Sch TOU-PA Cust Fcst'!E12*'Non-Residential TSM UC Adj'!O13</f>
        <v>0</v>
      </c>
      <c r="P13" s="23">
        <f>'Sch TOU-PA Cust Fcst'!E12*'Non-Residential TSM UC Adj'!P13</f>
        <v>0</v>
      </c>
      <c r="Q13" s="41">
        <f>IF(SUM(N13:P13)=0,0,SUM(N13:P13)/'Sch TOU-PA Cust Fcst'!E12)</f>
        <v>0</v>
      </c>
      <c r="R13" s="109">
        <f t="shared" si="0"/>
        <v>0</v>
      </c>
      <c r="S13" s="23">
        <f t="shared" si="0"/>
        <v>0</v>
      </c>
      <c r="T13" s="23">
        <f t="shared" si="0"/>
        <v>0</v>
      </c>
      <c r="U13" s="41">
        <f>IF(SUM(R13:T13)=0,0,SUM(R13:T13)/'Sch TOU-PA Cust Fcst'!F12)</f>
        <v>0</v>
      </c>
      <c r="V13" s="33">
        <f>'Sch TOU-PA Cust Fcst'!G12*'Non-Residential TSM UC Adj'!R13</f>
        <v>0</v>
      </c>
      <c r="W13" s="23">
        <f>'Sch TOU-PA Cust Fcst'!G12*'Non-Residential TSM UC Adj'!S13</f>
        <v>0</v>
      </c>
      <c r="X13" s="23">
        <f>'Sch TOU-PA Cust Fcst'!G12*'Non-Residential TSM UC Adj'!T13</f>
        <v>0</v>
      </c>
      <c r="Y13" s="41">
        <f>IF(SUM(V13:X13)=0,0,SUM(V13:X13)/'Sch TOU-PA Cust Fcst'!G12)</f>
        <v>0</v>
      </c>
      <c r="Z13" s="23">
        <f t="shared" si="1"/>
        <v>0</v>
      </c>
      <c r="AA13" s="23">
        <f t="shared" si="1"/>
        <v>0</v>
      </c>
      <c r="AB13" s="23">
        <f t="shared" si="1"/>
        <v>0</v>
      </c>
      <c r="AC13" s="41">
        <f>IF(SUM(Z13:AB13)=0,0,SUM(Z13:AB13)/'Sch TOU-PA Cust Fcst'!H12)</f>
        <v>0</v>
      </c>
    </row>
    <row r="14" spans="1:29" ht="13">
      <c r="A14" s="126" t="s">
        <v>10</v>
      </c>
      <c r="B14" s="109">
        <f>'Sch TOU-PA Cust Fcst'!B13*'Non-Residential TSM UC Adj'!B14</f>
        <v>0</v>
      </c>
      <c r="C14" s="23">
        <f>'Sch TOU-PA Cust Fcst'!B13*'Non-Residential TSM UC Adj'!C14</f>
        <v>0</v>
      </c>
      <c r="D14" s="23">
        <f>'Sch TOU-PA Cust Fcst'!B13*'Non-Residential TSM UC Adj'!D14</f>
        <v>0</v>
      </c>
      <c r="E14" s="41">
        <f>IF(SUM(B14:D14)=0,0,SUM(B14:D14)/'Sch TOU-PA Cust Fcst'!B13)</f>
        <v>0</v>
      </c>
      <c r="F14" s="109">
        <f>'Sch TOU-PA Cust Fcst'!C13*'Non-Residential TSM UC Adj'!F14</f>
        <v>0</v>
      </c>
      <c r="G14" s="23">
        <f>'Sch TOU-PA Cust Fcst'!C13*'Non-Residential TSM UC Adj'!G14</f>
        <v>0</v>
      </c>
      <c r="H14" s="23">
        <f>'Sch TOU-PA Cust Fcst'!C13*'Non-Residential TSM UC Adj'!H14</f>
        <v>0</v>
      </c>
      <c r="I14" s="41">
        <f>IF(SUM(F14:H14)=0,0,SUM(F14:H14)/'Sch TOU-PA Cust Fcst'!C13)</f>
        <v>0</v>
      </c>
      <c r="J14" s="109">
        <f>'Sch TOU-PA Cust Fcst'!D13*'Non-Residential TSM UC Adj'!J14</f>
        <v>0</v>
      </c>
      <c r="K14" s="23">
        <f>'Sch TOU-PA Cust Fcst'!D13*'Non-Residential TSM UC Adj'!K14</f>
        <v>0</v>
      </c>
      <c r="L14" s="23">
        <f>'Sch TOU-PA Cust Fcst'!D13*'Non-Residential TSM UC Adj'!L14</f>
        <v>0</v>
      </c>
      <c r="M14" s="41">
        <f>IF(SUM(J14:L14)=0,0,SUM(J14:L14)/'Sch TOU-PA Cust Fcst'!D13)</f>
        <v>0</v>
      </c>
      <c r="N14" s="109">
        <f>'Sch TOU-PA Cust Fcst'!E13*'Non-Residential TSM UC Adj'!N14</f>
        <v>0</v>
      </c>
      <c r="O14" s="23">
        <f>'Sch TOU-PA Cust Fcst'!E13*'Non-Residential TSM UC Adj'!O14</f>
        <v>0</v>
      </c>
      <c r="P14" s="23">
        <f>'Sch TOU-PA Cust Fcst'!E13*'Non-Residential TSM UC Adj'!P14</f>
        <v>0</v>
      </c>
      <c r="Q14" s="41">
        <f>IF(SUM(N14:P14)=0,0,SUM(N14:P14)/'Sch TOU-PA Cust Fcst'!E13)</f>
        <v>0</v>
      </c>
      <c r="R14" s="109">
        <f t="shared" si="0"/>
        <v>0</v>
      </c>
      <c r="S14" s="23">
        <f t="shared" si="0"/>
        <v>0</v>
      </c>
      <c r="T14" s="23">
        <f t="shared" si="0"/>
        <v>0</v>
      </c>
      <c r="U14" s="41">
        <f>IF(SUM(R14:T14)=0,0,SUM(R14:T14)/'Sch TOU-PA Cust Fcst'!F13)</f>
        <v>0</v>
      </c>
      <c r="V14" s="33">
        <f>'Sch TOU-PA Cust Fcst'!G13*'Non-Residential TSM UC Adj'!R14</f>
        <v>0</v>
      </c>
      <c r="W14" s="23">
        <f>'Sch TOU-PA Cust Fcst'!G13*'Non-Residential TSM UC Adj'!S14</f>
        <v>0</v>
      </c>
      <c r="X14" s="23">
        <f>'Sch TOU-PA Cust Fcst'!G13*'Non-Residential TSM UC Adj'!T14</f>
        <v>0</v>
      </c>
      <c r="Y14" s="41">
        <f>IF(SUM(V14:X14)=0,0,SUM(V14:X14)/'Sch TOU-PA Cust Fcst'!G13)</f>
        <v>0</v>
      </c>
      <c r="Z14" s="23">
        <f t="shared" si="1"/>
        <v>0</v>
      </c>
      <c r="AA14" s="23">
        <f t="shared" si="1"/>
        <v>0</v>
      </c>
      <c r="AB14" s="23">
        <f t="shared" si="1"/>
        <v>0</v>
      </c>
      <c r="AC14" s="41">
        <f>IF(SUM(Z14:AB14)=0,0,SUM(Z14:AB14)/'Sch TOU-PA Cust Fcst'!H13)</f>
        <v>0</v>
      </c>
    </row>
    <row r="15" spans="1:29" ht="13">
      <c r="A15" s="126" t="s">
        <v>11</v>
      </c>
      <c r="B15" s="109">
        <f>'Sch TOU-PA Cust Fcst'!B14*'Non-Residential TSM UC Adj'!B15</f>
        <v>0</v>
      </c>
      <c r="C15" s="23">
        <f>'Sch TOU-PA Cust Fcst'!B14*'Non-Residential TSM UC Adj'!C15</f>
        <v>0</v>
      </c>
      <c r="D15" s="23">
        <f>'Sch TOU-PA Cust Fcst'!B14*'Non-Residential TSM UC Adj'!D15</f>
        <v>0</v>
      </c>
      <c r="E15" s="41">
        <f>IF(SUM(B15:D15)=0,0,SUM(B15:D15)/'Sch TOU-PA Cust Fcst'!B14)</f>
        <v>0</v>
      </c>
      <c r="F15" s="109">
        <f>'Sch TOU-PA Cust Fcst'!C14*'Non-Residential TSM UC Adj'!F15</f>
        <v>0</v>
      </c>
      <c r="G15" s="23">
        <f>'Sch TOU-PA Cust Fcst'!C14*'Non-Residential TSM UC Adj'!G15</f>
        <v>0</v>
      </c>
      <c r="H15" s="23">
        <f>'Sch TOU-PA Cust Fcst'!C14*'Non-Residential TSM UC Adj'!H15</f>
        <v>0</v>
      </c>
      <c r="I15" s="41">
        <f>IF(SUM(F15:H15)=0,0,SUM(F15:H15)/'Sch TOU-PA Cust Fcst'!C14)</f>
        <v>0</v>
      </c>
      <c r="J15" s="109">
        <f>'Sch TOU-PA Cust Fcst'!D14*'Non-Residential TSM UC Adj'!J15</f>
        <v>0</v>
      </c>
      <c r="K15" s="23">
        <f>'Sch TOU-PA Cust Fcst'!D14*'Non-Residential TSM UC Adj'!K15</f>
        <v>0</v>
      </c>
      <c r="L15" s="23">
        <f>'Sch TOU-PA Cust Fcst'!D14*'Non-Residential TSM UC Adj'!L15</f>
        <v>0</v>
      </c>
      <c r="M15" s="41">
        <f>IF(SUM(J15:L15)=0,0,SUM(J15:L15)/'Sch TOU-PA Cust Fcst'!D14)</f>
        <v>0</v>
      </c>
      <c r="N15" s="109">
        <f>'Sch TOU-PA Cust Fcst'!E14*'Non-Residential TSM UC Adj'!N15</f>
        <v>0</v>
      </c>
      <c r="O15" s="23">
        <f>'Sch TOU-PA Cust Fcst'!E14*'Non-Residential TSM UC Adj'!O15</f>
        <v>0</v>
      </c>
      <c r="P15" s="23">
        <f>'Sch TOU-PA Cust Fcst'!E14*'Non-Residential TSM UC Adj'!P15</f>
        <v>0</v>
      </c>
      <c r="Q15" s="41">
        <f>IF(SUM(N15:P15)=0,0,SUM(N15:P15)/'Sch TOU-PA Cust Fcst'!E14)</f>
        <v>0</v>
      </c>
      <c r="R15" s="109">
        <f t="shared" si="0"/>
        <v>0</v>
      </c>
      <c r="S15" s="23">
        <f t="shared" si="0"/>
        <v>0</v>
      </c>
      <c r="T15" s="23">
        <f t="shared" si="0"/>
        <v>0</v>
      </c>
      <c r="U15" s="41">
        <f>IF(SUM(R15:T15)=0,0,SUM(R15:T15)/'Sch TOU-PA Cust Fcst'!F14)</f>
        <v>0</v>
      </c>
      <c r="V15" s="33">
        <f>'Sch TOU-PA Cust Fcst'!G14*'Non-Residential TSM UC Adj'!R15</f>
        <v>0</v>
      </c>
      <c r="W15" s="23">
        <f>'Sch TOU-PA Cust Fcst'!G14*'Non-Residential TSM UC Adj'!S15</f>
        <v>0</v>
      </c>
      <c r="X15" s="23">
        <f>'Sch TOU-PA Cust Fcst'!G14*'Non-Residential TSM UC Adj'!T15</f>
        <v>0</v>
      </c>
      <c r="Y15" s="41">
        <f>IF(SUM(V15:X15)=0,0,SUM(V15:X15)/'Sch TOU-PA Cust Fcst'!G14)</f>
        <v>0</v>
      </c>
      <c r="Z15" s="23">
        <f t="shared" si="1"/>
        <v>0</v>
      </c>
      <c r="AA15" s="23">
        <f t="shared" si="1"/>
        <v>0</v>
      </c>
      <c r="AB15" s="23">
        <f t="shared" si="1"/>
        <v>0</v>
      </c>
      <c r="AC15" s="41">
        <f>IF(SUM(Z15:AB15)=0,0,SUM(Z15:AB15)/'Sch TOU-PA Cust Fcst'!H14)</f>
        <v>0</v>
      </c>
    </row>
    <row r="16" spans="1:29" ht="13">
      <c r="A16" s="126" t="s">
        <v>101</v>
      </c>
      <c r="B16" s="109">
        <f>'Sch TOU-PA Cust Fcst'!B15*'Non-Residential TSM UC Adj'!B16</f>
        <v>0</v>
      </c>
      <c r="C16" s="23">
        <f>'Sch TOU-PA Cust Fcst'!B15*'Non-Residential TSM UC Adj'!C16</f>
        <v>0</v>
      </c>
      <c r="D16" s="23">
        <f>'Sch TOU-PA Cust Fcst'!B15*'Non-Residential TSM UC Adj'!D16</f>
        <v>0</v>
      </c>
      <c r="E16" s="41">
        <f>IF(SUM(B16:D16)=0,0,SUM(B16:D16)/'Sch TOU-PA Cust Fcst'!B15)</f>
        <v>0</v>
      </c>
      <c r="F16" s="109">
        <f>'Sch TOU-PA Cust Fcst'!C15*'Non-Residential TSM UC Adj'!F16</f>
        <v>0</v>
      </c>
      <c r="G16" s="23">
        <f>'Sch TOU-PA Cust Fcst'!C15*'Non-Residential TSM UC Adj'!G16</f>
        <v>0</v>
      </c>
      <c r="H16" s="23">
        <f>'Sch TOU-PA Cust Fcst'!C15*'Non-Residential TSM UC Adj'!H16</f>
        <v>0</v>
      </c>
      <c r="I16" s="41">
        <f>IF(SUM(F16:H16)=0,0,SUM(F16:H16)/'Sch TOU-PA Cust Fcst'!C15)</f>
        <v>0</v>
      </c>
      <c r="J16" s="109">
        <f>'Sch TOU-PA Cust Fcst'!D15*'Non-Residential TSM UC Adj'!J16</f>
        <v>0</v>
      </c>
      <c r="K16" s="23">
        <f>'Sch TOU-PA Cust Fcst'!D15*'Non-Residential TSM UC Adj'!K16</f>
        <v>0</v>
      </c>
      <c r="L16" s="23">
        <f>'Sch TOU-PA Cust Fcst'!D15*'Non-Residential TSM UC Adj'!L16</f>
        <v>0</v>
      </c>
      <c r="M16" s="41">
        <f>IF(SUM(J16:L16)=0,0,SUM(J16:L16)/'Sch TOU-PA Cust Fcst'!D15)</f>
        <v>0</v>
      </c>
      <c r="N16" s="109">
        <f>'Sch TOU-PA Cust Fcst'!E15*'Non-Residential TSM UC Adj'!N16</f>
        <v>0</v>
      </c>
      <c r="O16" s="23">
        <f>'Sch TOU-PA Cust Fcst'!E15*'Non-Residential TSM UC Adj'!O16</f>
        <v>0</v>
      </c>
      <c r="P16" s="23">
        <f>'Sch TOU-PA Cust Fcst'!E15*'Non-Residential TSM UC Adj'!P16</f>
        <v>0</v>
      </c>
      <c r="Q16" s="41">
        <f>IF(SUM(N16:P16)=0,0,SUM(N16:P16)/'Sch TOU-PA Cust Fcst'!E15)</f>
        <v>0</v>
      </c>
      <c r="R16" s="109">
        <f t="shared" si="0"/>
        <v>0</v>
      </c>
      <c r="S16" s="23">
        <f t="shared" si="0"/>
        <v>0</v>
      </c>
      <c r="T16" s="23">
        <f t="shared" si="0"/>
        <v>0</v>
      </c>
      <c r="U16" s="41">
        <f>IF(SUM(R16:T16)=0,0,SUM(R16:T16)/'Sch TOU-PA Cust Fcst'!F15)</f>
        <v>0</v>
      </c>
      <c r="V16" s="33">
        <f>'Sch TOU-PA Cust Fcst'!G15*'Non-Residential TSM UC Adj'!R16</f>
        <v>0</v>
      </c>
      <c r="W16" s="23">
        <f>'Sch TOU-PA Cust Fcst'!G15*'Non-Residential TSM UC Adj'!S16</f>
        <v>0</v>
      </c>
      <c r="X16" s="23">
        <f>'Sch TOU-PA Cust Fcst'!G15*'Non-Residential TSM UC Adj'!T16</f>
        <v>0</v>
      </c>
      <c r="Y16" s="41">
        <f>IF(SUM(V16:X16)=0,0,SUM(V16:X16)/'Sch TOU-PA Cust Fcst'!G15)</f>
        <v>0</v>
      </c>
      <c r="Z16" s="23">
        <f t="shared" si="1"/>
        <v>0</v>
      </c>
      <c r="AA16" s="23">
        <f t="shared" si="1"/>
        <v>0</v>
      </c>
      <c r="AB16" s="23">
        <f t="shared" si="1"/>
        <v>0</v>
      </c>
      <c r="AC16" s="41">
        <f>IF(SUM(Z16:AB16)=0,0,SUM(Z16:AB16)/'Sch TOU-PA Cust Fcst'!H15)</f>
        <v>0</v>
      </c>
    </row>
    <row r="17" spans="1:29" ht="13">
      <c r="A17" s="126" t="s">
        <v>102</v>
      </c>
      <c r="B17" s="109">
        <f>'Sch TOU-PA Cust Fcst'!B16*'Non-Residential TSM UC Adj'!J17</f>
        <v>0</v>
      </c>
      <c r="C17" s="23">
        <f>'Sch TOU-PA Cust Fcst'!B16*'Non-Residential TSM UC Adj'!K17</f>
        <v>0</v>
      </c>
      <c r="D17" s="23">
        <f>'Sch TOU-PA Cust Fcst'!B16*'Non-Residential TSM UC Adj'!L17</f>
        <v>0</v>
      </c>
      <c r="E17" s="41">
        <f>IF(SUM(B17:D17)=0,0,SUM(B17:D17)/'Sch TOU-PA Cust Fcst'!B16)</f>
        <v>0</v>
      </c>
      <c r="F17" s="109">
        <f>'Sch TOU-PA Cust Fcst'!C16*'Non-Residential TSM UC Adj'!F17</f>
        <v>0</v>
      </c>
      <c r="G17" s="23">
        <f>'Sch TOU-PA Cust Fcst'!C16*'Non-Residential TSM UC Adj'!G17</f>
        <v>0</v>
      </c>
      <c r="H17" s="23">
        <f>'Sch TOU-PA Cust Fcst'!C16*'Non-Residential TSM UC Adj'!H17</f>
        <v>0</v>
      </c>
      <c r="I17" s="41">
        <f>IF(SUM(F17:H17)=0,0,SUM(F17:H17)/'Sch TOU-PA Cust Fcst'!C16)</f>
        <v>0</v>
      </c>
      <c r="J17" s="109">
        <f>'Sch TOU-PA Cust Fcst'!D16*'Non-Residential TSM UC Adj'!J17</f>
        <v>0</v>
      </c>
      <c r="K17" s="23">
        <f>'Sch TOU-PA Cust Fcst'!D16*'Non-Residential TSM UC Adj'!K17</f>
        <v>0</v>
      </c>
      <c r="L17" s="23">
        <f>'Sch TOU-PA Cust Fcst'!D16*'Non-Residential TSM UC Adj'!L17</f>
        <v>0</v>
      </c>
      <c r="M17" s="41">
        <f>IF(SUM(J17:L17)=0,0,SUM(J17:L17)/'Sch TOU-PA Cust Fcst'!D16)</f>
        <v>0</v>
      </c>
      <c r="N17" s="109">
        <f>'Sch TOU-PA Cust Fcst'!E16*'Non-Residential TSM UC Adj'!N17</f>
        <v>0</v>
      </c>
      <c r="O17" s="23">
        <f>'Sch TOU-PA Cust Fcst'!E16*'Non-Residential TSM UC Adj'!O17</f>
        <v>0</v>
      </c>
      <c r="P17" s="23">
        <f>'Sch TOU-PA Cust Fcst'!E16*'Non-Residential TSM UC Adj'!P17</f>
        <v>0</v>
      </c>
      <c r="Q17" s="41">
        <f>IF(SUM(N17:P17)=0,0,SUM(N17:P17)/'Sch TOU-PA Cust Fcst'!E16)</f>
        <v>0</v>
      </c>
      <c r="R17" s="109">
        <f t="shared" si="0"/>
        <v>0</v>
      </c>
      <c r="S17" s="23">
        <f t="shared" si="0"/>
        <v>0</v>
      </c>
      <c r="T17" s="23">
        <f t="shared" si="0"/>
        <v>0</v>
      </c>
      <c r="U17" s="41">
        <f>IF(SUM(R17:T17)=0,0,SUM(R17:T17)/'Sch TOU-PA Cust Fcst'!F16)</f>
        <v>0</v>
      </c>
      <c r="V17" s="33">
        <f>'Sch TOU-PA Cust Fcst'!G16*'Non-Residential TSM UC Adj'!R17</f>
        <v>0</v>
      </c>
      <c r="W17" s="23">
        <f>'Sch TOU-PA Cust Fcst'!G16*'Non-Residential TSM UC Adj'!S17</f>
        <v>0</v>
      </c>
      <c r="X17" s="23">
        <f>'Sch TOU-PA Cust Fcst'!G16*'Non-Residential TSM UC Adj'!T17</f>
        <v>0</v>
      </c>
      <c r="Y17" s="41">
        <f>IF(SUM(V17:X17)=0,0,SUM(V17:X17)/'Sch TOU-PA Cust Fcst'!G16)</f>
        <v>0</v>
      </c>
      <c r="Z17" s="23">
        <f t="shared" si="1"/>
        <v>0</v>
      </c>
      <c r="AA17" s="23">
        <f t="shared" si="1"/>
        <v>0</v>
      </c>
      <c r="AB17" s="23">
        <f t="shared" si="1"/>
        <v>0</v>
      </c>
      <c r="AC17" s="41">
        <f>IF(SUM(Z17:AB17)=0,0,SUM(Z17:AB17)/'Sch TOU-PA Cust Fcst'!H16)</f>
        <v>0</v>
      </c>
    </row>
    <row r="18" spans="1:29" ht="13">
      <c r="A18" s="126" t="s">
        <v>12</v>
      </c>
      <c r="B18" s="109">
        <f>'Sch TOU-PA Cust Fcst'!B17*'Non-Residential TSM UC Adj'!J18</f>
        <v>0</v>
      </c>
      <c r="C18" s="23">
        <f>'Sch TOU-PA Cust Fcst'!B17*'Non-Residential TSM UC Adj'!K18</f>
        <v>0</v>
      </c>
      <c r="D18" s="23">
        <f>'Sch TOU-PA Cust Fcst'!B17*'Non-Residential TSM UC Adj'!L18</f>
        <v>0</v>
      </c>
      <c r="E18" s="41">
        <f>IF(SUM(B18:D18)=0,0,SUM(B18:D18)/'Sch TOU-PA Cust Fcst'!B17)</f>
        <v>0</v>
      </c>
      <c r="F18" s="109">
        <f>'Sch TOU-PA Cust Fcst'!C17*'Non-Residential TSM UC Adj'!J18</f>
        <v>0</v>
      </c>
      <c r="G18" s="23">
        <f>'Sch TOU-PA Cust Fcst'!C17*'Non-Residential TSM UC Adj'!K18</f>
        <v>0</v>
      </c>
      <c r="H18" s="23">
        <f>'Sch TOU-PA Cust Fcst'!C17*'Non-Residential TSM UC Adj'!L18</f>
        <v>0</v>
      </c>
      <c r="I18" s="41">
        <f>IF(SUM(F18:H18)=0,0,SUM(F18:H18)/'Sch TOU-PA Cust Fcst'!C17)</f>
        <v>0</v>
      </c>
      <c r="J18" s="109">
        <f>'Sch TOU-PA Cust Fcst'!D17*'Non-Residential TSM UC Adj'!J18</f>
        <v>0</v>
      </c>
      <c r="K18" s="23">
        <f>'Sch TOU-PA Cust Fcst'!D17*'Non-Residential TSM UC Adj'!K18</f>
        <v>0</v>
      </c>
      <c r="L18" s="23">
        <f>'Sch TOU-PA Cust Fcst'!D17*'Non-Residential TSM UC Adj'!L18</f>
        <v>0</v>
      </c>
      <c r="M18" s="41">
        <f>IF(SUM(J18:L18)=0,0,SUM(J18:L18)/'Sch TOU-PA Cust Fcst'!D17)</f>
        <v>0</v>
      </c>
      <c r="N18" s="109">
        <f>'Sch TOU-PA Cust Fcst'!E17*'Non-Residential TSM UC Adj'!N18</f>
        <v>0</v>
      </c>
      <c r="O18" s="23">
        <f>'Sch TOU-PA Cust Fcst'!E17*'Non-Residential TSM UC Adj'!O18</f>
        <v>0</v>
      </c>
      <c r="P18" s="23">
        <f>'Sch TOU-PA Cust Fcst'!E17*'Non-Residential TSM UC Adj'!P18</f>
        <v>0</v>
      </c>
      <c r="Q18" s="41">
        <f>IF(SUM(N18:P18)=0,0,SUM(N18:P18)/'Sch TOU-PA Cust Fcst'!E17)</f>
        <v>0</v>
      </c>
      <c r="R18" s="109">
        <f t="shared" si="0"/>
        <v>0</v>
      </c>
      <c r="S18" s="23">
        <f t="shared" si="0"/>
        <v>0</v>
      </c>
      <c r="T18" s="23">
        <f t="shared" si="0"/>
        <v>0</v>
      </c>
      <c r="U18" s="41">
        <f>IF(SUM(R18:T18)=0,0,SUM(R18:T18)/'Sch TOU-PA Cust Fcst'!F17)</f>
        <v>0</v>
      </c>
      <c r="V18" s="33">
        <f>'Sch TOU-PA Cust Fcst'!G17*'Non-Residential TSM UC Adj'!R18</f>
        <v>0</v>
      </c>
      <c r="W18" s="23">
        <f>'Sch TOU-PA Cust Fcst'!G17*'Non-Residential TSM UC Adj'!S18</f>
        <v>0</v>
      </c>
      <c r="X18" s="23">
        <f>'Sch TOU-PA Cust Fcst'!G17*'Non-Residential TSM UC Adj'!T18</f>
        <v>0</v>
      </c>
      <c r="Y18" s="41">
        <f>IF(SUM(V18:X18)=0,0,SUM(V18:X18)/'Sch TOU-PA Cust Fcst'!G17)</f>
        <v>0</v>
      </c>
      <c r="Z18" s="23">
        <f t="shared" si="1"/>
        <v>0</v>
      </c>
      <c r="AA18" s="23">
        <f t="shared" si="1"/>
        <v>0</v>
      </c>
      <c r="AB18" s="23">
        <f t="shared" si="1"/>
        <v>0</v>
      </c>
      <c r="AC18" s="41">
        <f>IF(SUM(Z18:AB18)=0,0,SUM(Z18:AB18)/'Sch TOU-PA Cust Fcst'!H17)</f>
        <v>0</v>
      </c>
    </row>
    <row r="19" spans="1:29" ht="13">
      <c r="A19" s="126" t="s">
        <v>13</v>
      </c>
      <c r="B19" s="109">
        <f>'Sch TOU-PA Cust Fcst'!B18*'Non-Residential TSM UC Adj'!J19</f>
        <v>0</v>
      </c>
      <c r="C19" s="23">
        <f>'Sch TOU-PA Cust Fcst'!B18*'Non-Residential TSM UC Adj'!K19</f>
        <v>0</v>
      </c>
      <c r="D19" s="23">
        <f>'Sch TOU-PA Cust Fcst'!B18*'Non-Residential TSM UC Adj'!L19</f>
        <v>0</v>
      </c>
      <c r="E19" s="41">
        <f>IF(SUM(B19:D19)=0,0,SUM(B19:D19)/'Sch TOU-PA Cust Fcst'!B18)</f>
        <v>0</v>
      </c>
      <c r="F19" s="109">
        <f>'Sch TOU-PA Cust Fcst'!C18*'Non-Residential TSM UC Adj'!J19</f>
        <v>0</v>
      </c>
      <c r="G19" s="23">
        <f>'Sch TOU-PA Cust Fcst'!C18*'Non-Residential TSM UC Adj'!K19</f>
        <v>0</v>
      </c>
      <c r="H19" s="23">
        <f>'Sch TOU-PA Cust Fcst'!C18*'Non-Residential TSM UC Adj'!L19</f>
        <v>0</v>
      </c>
      <c r="I19" s="41">
        <f>IF(SUM(F19:H19)=0,0,SUM(F19:H19)/'Sch TOU-PA Cust Fcst'!C18)</f>
        <v>0</v>
      </c>
      <c r="J19" s="109">
        <f>'Sch TOU-PA Cust Fcst'!D18*'Non-Residential TSM UC Adj'!J19</f>
        <v>0</v>
      </c>
      <c r="K19" s="23">
        <f>'Sch TOU-PA Cust Fcst'!D18*'Non-Residential TSM UC Adj'!K19</f>
        <v>0</v>
      </c>
      <c r="L19" s="23">
        <f>'Sch TOU-PA Cust Fcst'!D18*'Non-Residential TSM UC Adj'!L19</f>
        <v>0</v>
      </c>
      <c r="M19" s="41">
        <f>IF(SUM(J19:L19)=0,0,SUM(J19:L19)/'Sch TOU-PA Cust Fcst'!D18)</f>
        <v>0</v>
      </c>
      <c r="N19" s="109">
        <f>'Sch TOU-PA Cust Fcst'!E18*'Non-Residential TSM UC Adj'!N19</f>
        <v>0</v>
      </c>
      <c r="O19" s="23">
        <f>'Sch TOU-PA Cust Fcst'!E18*'Non-Residential TSM UC Adj'!O19</f>
        <v>0</v>
      </c>
      <c r="P19" s="23">
        <f>'Sch TOU-PA Cust Fcst'!E18*'Non-Residential TSM UC Adj'!P19</f>
        <v>0</v>
      </c>
      <c r="Q19" s="41">
        <f>IF(SUM(N19:P19)=0,0,SUM(N19:P19)/'Sch TOU-PA Cust Fcst'!E18)</f>
        <v>0</v>
      </c>
      <c r="R19" s="109">
        <f t="shared" si="0"/>
        <v>0</v>
      </c>
      <c r="S19" s="23">
        <f t="shared" si="0"/>
        <v>0</v>
      </c>
      <c r="T19" s="23">
        <f t="shared" si="0"/>
        <v>0</v>
      </c>
      <c r="U19" s="41">
        <f>IF(SUM(R19:T19)=0,0,SUM(R19:T19)/'Sch TOU-PA Cust Fcst'!F18)</f>
        <v>0</v>
      </c>
      <c r="V19" s="33">
        <f>'Sch TOU-PA Cust Fcst'!G18*'Non-Residential TSM UC Adj'!R19</f>
        <v>0</v>
      </c>
      <c r="W19" s="23">
        <f>'Sch TOU-PA Cust Fcst'!G18*'Non-Residential TSM UC Adj'!S19</f>
        <v>0</v>
      </c>
      <c r="X19" s="23">
        <f>'Sch TOU-PA Cust Fcst'!G18*'Non-Residential TSM UC Adj'!T19</f>
        <v>0</v>
      </c>
      <c r="Y19" s="41">
        <f>IF(SUM(V19:X19)=0,0,SUM(V19:X19)/'Sch TOU-PA Cust Fcst'!G18)</f>
        <v>0</v>
      </c>
      <c r="Z19" s="23">
        <f t="shared" si="1"/>
        <v>0</v>
      </c>
      <c r="AA19" s="23">
        <f t="shared" si="1"/>
        <v>0</v>
      </c>
      <c r="AB19" s="23">
        <f t="shared" si="1"/>
        <v>0</v>
      </c>
      <c r="AC19" s="41">
        <f>IF(SUM(Z19:AB19)=0,0,SUM(Z19:AB19)/'Sch TOU-PA Cust Fcst'!H18)</f>
        <v>0</v>
      </c>
    </row>
    <row r="20" spans="1:29" ht="13">
      <c r="A20" s="126" t="s">
        <v>103</v>
      </c>
      <c r="B20" s="109">
        <f>'Sch TOU-PA Cust Fcst'!B19*'Non-Residential TSM UC Adj'!J20</f>
        <v>0</v>
      </c>
      <c r="C20" s="23">
        <f>'Sch TOU-PA Cust Fcst'!B19*'Non-Residential TSM UC Adj'!K20</f>
        <v>0</v>
      </c>
      <c r="D20" s="23">
        <f>'Sch TOU-PA Cust Fcst'!B19*'Non-Residential TSM UC Adj'!L20</f>
        <v>0</v>
      </c>
      <c r="E20" s="41">
        <f>IF(SUM(B20:D20)=0,0,SUM(B20:D20)/'Sch TOU-PA Cust Fcst'!B19)</f>
        <v>0</v>
      </c>
      <c r="F20" s="109">
        <f>'Sch TOU-PA Cust Fcst'!C19*'Non-Residential TSM UC Adj'!J20</f>
        <v>0</v>
      </c>
      <c r="G20" s="23">
        <f>'Sch TOU-PA Cust Fcst'!C19*'Non-Residential TSM UC Adj'!K20</f>
        <v>0</v>
      </c>
      <c r="H20" s="23">
        <f>'Sch TOU-PA Cust Fcst'!C19*'Non-Residential TSM UC Adj'!L20</f>
        <v>0</v>
      </c>
      <c r="I20" s="41">
        <f>IF(SUM(F20:H20)=0,0,SUM(F20:H20)/'Sch TOU-PA Cust Fcst'!C19)</f>
        <v>0</v>
      </c>
      <c r="J20" s="109">
        <f>'Sch TOU-PA Cust Fcst'!D19*'Non-Residential TSM UC Adj'!J20</f>
        <v>0</v>
      </c>
      <c r="K20" s="23">
        <f>'Sch TOU-PA Cust Fcst'!D19*'Non-Residential TSM UC Adj'!K20</f>
        <v>0</v>
      </c>
      <c r="L20" s="23">
        <f>'Sch TOU-PA Cust Fcst'!D19*'Non-Residential TSM UC Adj'!L20</f>
        <v>0</v>
      </c>
      <c r="M20" s="41">
        <f>IF(SUM(J20:L20)=0,0,SUM(J20:L20)/'Sch TOU-PA Cust Fcst'!D19)</f>
        <v>0</v>
      </c>
      <c r="N20" s="109">
        <f>'Sch TOU-PA Cust Fcst'!E19*'Non-Residential TSM UC Adj'!N20</f>
        <v>14168.457286169785</v>
      </c>
      <c r="O20" s="23">
        <f>'Sch TOU-PA Cust Fcst'!E19*'Non-Residential TSM UC Adj'!O20</f>
        <v>3881.3806159244828</v>
      </c>
      <c r="P20" s="23">
        <f>'Sch TOU-PA Cust Fcst'!E19*'Non-Residential TSM UC Adj'!P20</f>
        <v>865.67585029149416</v>
      </c>
      <c r="Q20" s="41">
        <f>IF(SUM(N20:P20)=0,0,SUM(N20:P20)/'Sch TOU-PA Cust Fcst'!E19)</f>
        <v>18915.513752385759</v>
      </c>
      <c r="R20" s="109">
        <f t="shared" si="0"/>
        <v>14168.457286169785</v>
      </c>
      <c r="S20" s="23">
        <f t="shared" si="0"/>
        <v>3881.3806159244828</v>
      </c>
      <c r="T20" s="23">
        <f t="shared" si="0"/>
        <v>865.67585029149416</v>
      </c>
      <c r="U20" s="41">
        <f>IF(SUM(R20:T20)=0,0,SUM(R20:T20)/'Sch TOU-PA Cust Fcst'!F19)</f>
        <v>18915.513752385759</v>
      </c>
      <c r="V20" s="33">
        <f>'Sch TOU-PA Cust Fcst'!G19*'Non-Residential TSM UC Adj'!R20</f>
        <v>0</v>
      </c>
      <c r="W20" s="23">
        <f>'Sch TOU-PA Cust Fcst'!G19*'Non-Residential TSM UC Adj'!S20</f>
        <v>0</v>
      </c>
      <c r="X20" s="23">
        <f>'Sch TOU-PA Cust Fcst'!G19*'Non-Residential TSM UC Adj'!T20</f>
        <v>0</v>
      </c>
      <c r="Y20" s="41">
        <f>IF(SUM(V20:X20)=0,0,SUM(V20:X20)/'Sch TOU-PA Cust Fcst'!G19)</f>
        <v>0</v>
      </c>
      <c r="Z20" s="23">
        <f t="shared" si="1"/>
        <v>14168.457286169785</v>
      </c>
      <c r="AA20" s="23">
        <f t="shared" si="1"/>
        <v>3881.3806159244828</v>
      </c>
      <c r="AB20" s="23">
        <f t="shared" si="1"/>
        <v>865.67585029149416</v>
      </c>
      <c r="AC20" s="41">
        <f>IF(SUM(Z20:AB20)=0,0,SUM(Z20:AB20)/'Sch TOU-PA Cust Fcst'!H19)</f>
        <v>18915.513752385759</v>
      </c>
    </row>
    <row r="21" spans="1:29" ht="13">
      <c r="A21" s="126" t="s">
        <v>104</v>
      </c>
      <c r="B21" s="109">
        <f>'Sch TOU-PA Cust Fcst'!B20*'Non-Residential TSM UC Adj'!J21</f>
        <v>0</v>
      </c>
      <c r="C21" s="23">
        <f>'Sch TOU-PA Cust Fcst'!B20*'Non-Residential TSM UC Adj'!K21</f>
        <v>0</v>
      </c>
      <c r="D21" s="23">
        <f>'Sch TOU-PA Cust Fcst'!B20*'Non-Residential TSM UC Adj'!L21</f>
        <v>0</v>
      </c>
      <c r="E21" s="41">
        <f>IF(SUM(B21:D21)=0,0,SUM(B21:D21)/'Sch TOU-PA Cust Fcst'!B20)</f>
        <v>0</v>
      </c>
      <c r="F21" s="109">
        <f>'Sch TOU-PA Cust Fcst'!C20*'Non-Residential TSM UC Adj'!J21</f>
        <v>0</v>
      </c>
      <c r="G21" s="23">
        <f>'Sch TOU-PA Cust Fcst'!C20*'Non-Residential TSM UC Adj'!K21</f>
        <v>0</v>
      </c>
      <c r="H21" s="23">
        <f>'Sch TOU-PA Cust Fcst'!C20*'Non-Residential TSM UC Adj'!L21</f>
        <v>0</v>
      </c>
      <c r="I21" s="41">
        <f>IF(SUM(F21:H21)=0,0,SUM(F21:H21)/'Sch TOU-PA Cust Fcst'!C20)</f>
        <v>0</v>
      </c>
      <c r="J21" s="109">
        <f>'Sch TOU-PA Cust Fcst'!D20*'Non-Residential TSM UC Adj'!J21</f>
        <v>0</v>
      </c>
      <c r="K21" s="23">
        <f>'Sch TOU-PA Cust Fcst'!D20*'Non-Residential TSM UC Adj'!K21</f>
        <v>0</v>
      </c>
      <c r="L21" s="23">
        <f>'Sch TOU-PA Cust Fcst'!D20*'Non-Residential TSM UC Adj'!L21</f>
        <v>0</v>
      </c>
      <c r="M21" s="41">
        <f>IF(SUM(J21:L21)=0,0,SUM(J21:L21)/'Sch TOU-PA Cust Fcst'!D20)</f>
        <v>0</v>
      </c>
      <c r="N21" s="109">
        <f>'Sch TOU-PA Cust Fcst'!E20*'Non-Residential TSM UC Adj'!N21</f>
        <v>0</v>
      </c>
      <c r="O21" s="23">
        <f>'Sch TOU-PA Cust Fcst'!E20*'Non-Residential TSM UC Adj'!O21</f>
        <v>0</v>
      </c>
      <c r="P21" s="23">
        <f>'Sch TOU-PA Cust Fcst'!E20*'Non-Residential TSM UC Adj'!P21</f>
        <v>0</v>
      </c>
      <c r="Q21" s="41">
        <f>IF(SUM(N21:P21)=0,0,SUM(N21:P21)/'Sch TOU-PA Cust Fcst'!E20)</f>
        <v>0</v>
      </c>
      <c r="R21" s="109">
        <f t="shared" si="0"/>
        <v>0</v>
      </c>
      <c r="S21" s="23">
        <f t="shared" si="0"/>
        <v>0</v>
      </c>
      <c r="T21" s="23">
        <f t="shared" si="0"/>
        <v>0</v>
      </c>
      <c r="U21" s="41">
        <f>IF(SUM(R21:T21)=0,0,SUM(R21:T21)/'Sch TOU-PA Cust Fcst'!F20)</f>
        <v>0</v>
      </c>
      <c r="V21" s="33">
        <f>'Sch TOU-PA Cust Fcst'!G20*'Non-Residential TSM UC Adj'!R21</f>
        <v>0</v>
      </c>
      <c r="W21" s="23">
        <f>'Sch TOU-PA Cust Fcst'!G20*'Non-Residential TSM UC Adj'!S21</f>
        <v>0</v>
      </c>
      <c r="X21" s="23">
        <f>'Sch TOU-PA Cust Fcst'!G20*'Non-Residential TSM UC Adj'!T21</f>
        <v>0</v>
      </c>
      <c r="Y21" s="41">
        <f>IF(SUM(V21:X21)=0,0,SUM(V21:X21)/'Sch TOU-PA Cust Fcst'!G20)</f>
        <v>0</v>
      </c>
      <c r="Z21" s="23">
        <f t="shared" si="1"/>
        <v>0</v>
      </c>
      <c r="AA21" s="23">
        <f t="shared" si="1"/>
        <v>0</v>
      </c>
      <c r="AB21" s="23">
        <f t="shared" si="1"/>
        <v>0</v>
      </c>
      <c r="AC21" s="41">
        <f>IF(SUM(Z21:AB21)=0,0,SUM(Z21:AB21)/'Sch TOU-PA Cust Fcst'!H20)</f>
        <v>0</v>
      </c>
    </row>
    <row r="22" spans="1:29" ht="13">
      <c r="A22" s="124" t="s">
        <v>14</v>
      </c>
      <c r="B22" s="109">
        <f>'Sch TOU-PA Cust Fcst'!B21*'Non-Residential TSM UC Adj'!J22</f>
        <v>0</v>
      </c>
      <c r="C22" s="23">
        <f>'Sch TOU-PA Cust Fcst'!B21*'Non-Residential TSM UC Adj'!K22</f>
        <v>0</v>
      </c>
      <c r="D22" s="23">
        <f>'Sch TOU-PA Cust Fcst'!B21*'Non-Residential TSM UC Adj'!L22</f>
        <v>0</v>
      </c>
      <c r="E22" s="41">
        <f>IF(SUM(B22:D22)=0,0,SUM(B22:D22)/'Sch TOU-PA Cust Fcst'!B21)</f>
        <v>0</v>
      </c>
      <c r="F22" s="109">
        <f>'Sch TOU-PA Cust Fcst'!C21*'Non-Residential TSM UC Adj'!J22</f>
        <v>0</v>
      </c>
      <c r="G22" s="23">
        <f>'Sch TOU-PA Cust Fcst'!C21*'Non-Residential TSM UC Adj'!K22</f>
        <v>0</v>
      </c>
      <c r="H22" s="23">
        <f>'Sch TOU-PA Cust Fcst'!C21*'Non-Residential TSM UC Adj'!L22</f>
        <v>0</v>
      </c>
      <c r="I22" s="41">
        <f>IF(SUM(F22:H22)=0,0,SUM(F22:H22)/'Sch TOU-PA Cust Fcst'!C21)</f>
        <v>0</v>
      </c>
      <c r="J22" s="109">
        <f>'Sch TOU-PA Cust Fcst'!D21*'Non-Residential TSM UC Adj'!J22</f>
        <v>0</v>
      </c>
      <c r="K22" s="23">
        <f>'Sch TOU-PA Cust Fcst'!D21*'Non-Residential TSM UC Adj'!K22</f>
        <v>0</v>
      </c>
      <c r="L22" s="23">
        <f>'Sch TOU-PA Cust Fcst'!D21*'Non-Residential TSM UC Adj'!L22</f>
        <v>0</v>
      </c>
      <c r="M22" s="41">
        <f>IF(SUM(J22:L22)=0,0,SUM(J22:L22)/'Sch TOU-PA Cust Fcst'!D21)</f>
        <v>0</v>
      </c>
      <c r="N22" s="109">
        <f>'Sch TOU-PA Cust Fcst'!E21*'Non-Residential TSM UC Adj'!N22</f>
        <v>0</v>
      </c>
      <c r="O22" s="23">
        <f>'Sch TOU-PA Cust Fcst'!E21*'Non-Residential TSM UC Adj'!O22</f>
        <v>0</v>
      </c>
      <c r="P22" s="23">
        <f>'Sch TOU-PA Cust Fcst'!E21*'Non-Residential TSM UC Adj'!P22</f>
        <v>0</v>
      </c>
      <c r="Q22" s="41">
        <f>IF(SUM(N22:P22)=0,0,SUM(N22:P22)/'Sch TOU-PA Cust Fcst'!E21)</f>
        <v>0</v>
      </c>
      <c r="R22" s="109">
        <f t="shared" si="0"/>
        <v>0</v>
      </c>
      <c r="S22" s="23">
        <f t="shared" si="0"/>
        <v>0</v>
      </c>
      <c r="T22" s="23">
        <f t="shared" si="0"/>
        <v>0</v>
      </c>
      <c r="U22" s="41">
        <f>IF(SUM(R22:T22)=0,0,SUM(R22:T22)/'Sch TOU-PA Cust Fcst'!F21)</f>
        <v>0</v>
      </c>
      <c r="V22" s="33">
        <f>'Sch TOU-PA Cust Fcst'!G21*'Non-Residential TSM UC Adj'!R22</f>
        <v>0</v>
      </c>
      <c r="W22" s="23">
        <f>'Sch TOU-PA Cust Fcst'!G21*'Non-Residential TSM UC Adj'!S22</f>
        <v>0</v>
      </c>
      <c r="X22" s="23">
        <f>'Sch TOU-PA Cust Fcst'!G21*'Non-Residential TSM UC Adj'!T22</f>
        <v>0</v>
      </c>
      <c r="Y22" s="41">
        <f>IF(SUM(V22:X22)=0,0,SUM(V22:X22)/'Sch TOU-PA Cust Fcst'!G21)</f>
        <v>0</v>
      </c>
      <c r="Z22" s="23">
        <f t="shared" si="1"/>
        <v>0</v>
      </c>
      <c r="AA22" s="23">
        <f t="shared" si="1"/>
        <v>0</v>
      </c>
      <c r="AB22" s="23">
        <f t="shared" si="1"/>
        <v>0</v>
      </c>
      <c r="AC22" s="41">
        <f>IF(SUM(Z22:AB22)=0,0,SUM(Z22:AB22)/'Sch TOU-PA Cust Fcst'!H21)</f>
        <v>0</v>
      </c>
    </row>
    <row r="23" spans="1:29" ht="13">
      <c r="A23" s="126" t="s">
        <v>15</v>
      </c>
      <c r="B23" s="109">
        <f>'Sch TOU-PA Cust Fcst'!B22*'Non-Residential TSM UC Adj'!J23</f>
        <v>0</v>
      </c>
      <c r="C23" s="23">
        <f>'Sch TOU-PA Cust Fcst'!B22*'Non-Residential TSM UC Adj'!K23</f>
        <v>0</v>
      </c>
      <c r="D23" s="23">
        <f>'Sch TOU-PA Cust Fcst'!B22*'Non-Residential TSM UC Adj'!L23</f>
        <v>0</v>
      </c>
      <c r="E23" s="41">
        <f>IF(SUM(B23:D23)=0,0,SUM(B23:D23)/'Sch TOU-PA Cust Fcst'!B22)</f>
        <v>0</v>
      </c>
      <c r="F23" s="109">
        <f>'Sch TOU-PA Cust Fcst'!C22*'Non-Residential TSM UC Adj'!J23</f>
        <v>0</v>
      </c>
      <c r="G23" s="23">
        <f>'Sch TOU-PA Cust Fcst'!C22*'Non-Residential TSM UC Adj'!K23</f>
        <v>0</v>
      </c>
      <c r="H23" s="23">
        <f>'Sch TOU-PA Cust Fcst'!C22*'Non-Residential TSM UC Adj'!L23</f>
        <v>0</v>
      </c>
      <c r="I23" s="41">
        <f>IF(SUM(F23:H23)=0,0,SUM(F23:H23)/'Sch TOU-PA Cust Fcst'!C22)</f>
        <v>0</v>
      </c>
      <c r="J23" s="109">
        <f>'Sch TOU-PA Cust Fcst'!D22*'Non-Residential TSM UC Adj'!J23</f>
        <v>0</v>
      </c>
      <c r="K23" s="23">
        <f>'Sch TOU-PA Cust Fcst'!D22*'Non-Residential TSM UC Adj'!K23</f>
        <v>0</v>
      </c>
      <c r="L23" s="23">
        <f>'Sch TOU-PA Cust Fcst'!D22*'Non-Residential TSM UC Adj'!L23</f>
        <v>0</v>
      </c>
      <c r="M23" s="41">
        <f>IF(SUM(J23:L23)=0,0,SUM(J23:L23)/'Sch TOU-PA Cust Fcst'!D22)</f>
        <v>0</v>
      </c>
      <c r="N23" s="109">
        <f>'Sch TOU-PA Cust Fcst'!E22*'Non-Residential TSM UC Adj'!N23</f>
        <v>0</v>
      </c>
      <c r="O23" s="23">
        <f>'Sch TOU-PA Cust Fcst'!E22*'Non-Residential TSM UC Adj'!O23</f>
        <v>0</v>
      </c>
      <c r="P23" s="23">
        <f>'Sch TOU-PA Cust Fcst'!E22*'Non-Residential TSM UC Adj'!P23</f>
        <v>0</v>
      </c>
      <c r="Q23" s="41">
        <f>IF(SUM(N23:P23)=0,0,SUM(N23:P23)/'Sch TOU-PA Cust Fcst'!E22)</f>
        <v>0</v>
      </c>
      <c r="R23" s="109">
        <f t="shared" si="0"/>
        <v>0</v>
      </c>
      <c r="S23" s="23">
        <f t="shared" si="0"/>
        <v>0</v>
      </c>
      <c r="T23" s="23">
        <f t="shared" si="0"/>
        <v>0</v>
      </c>
      <c r="U23" s="41">
        <f>IF(SUM(R23:T23)=0,0,SUM(R23:T23)/'Sch TOU-PA Cust Fcst'!F22)</f>
        <v>0</v>
      </c>
      <c r="V23" s="33">
        <f>'Sch TOU-PA Cust Fcst'!G22*'Non-Residential TSM UC Adj'!R23</f>
        <v>0</v>
      </c>
      <c r="W23" s="23">
        <f>'Sch TOU-PA Cust Fcst'!G22*'Non-Residential TSM UC Adj'!S23</f>
        <v>0</v>
      </c>
      <c r="X23" s="23">
        <f>'Sch TOU-PA Cust Fcst'!G22*'Non-Residential TSM UC Adj'!T23</f>
        <v>0</v>
      </c>
      <c r="Y23" s="41">
        <f>IF(SUM(V23:X23)=0,0,SUM(V23:X23)/'Sch TOU-PA Cust Fcst'!G22)</f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41">
        <f>IF(SUM(Z23:AB23)=0,0,SUM(Z23:AB23)/'Sch TOU-PA Cust Fcst'!H22)</f>
        <v>0</v>
      </c>
    </row>
    <row r="24" spans="1:29" ht="13">
      <c r="A24" s="126" t="s">
        <v>16</v>
      </c>
      <c r="B24" s="109">
        <f>'Sch TOU-PA Cust Fcst'!B23*'Non-Residential TSM UC Adj'!J24</f>
        <v>0</v>
      </c>
      <c r="C24" s="23">
        <f>'Sch TOU-PA Cust Fcst'!B23*'Non-Residential TSM UC Adj'!K24</f>
        <v>0</v>
      </c>
      <c r="D24" s="23">
        <f>'Sch TOU-PA Cust Fcst'!B23*'Non-Residential TSM UC Adj'!L24</f>
        <v>0</v>
      </c>
      <c r="E24" s="41">
        <f>IF(SUM(B24:D24)=0,0,SUM(B24:D24)/'Sch TOU-PA Cust Fcst'!B23)</f>
        <v>0</v>
      </c>
      <c r="F24" s="109">
        <f>'Sch TOU-PA Cust Fcst'!C23*'Non-Residential TSM UC Adj'!J24</f>
        <v>0</v>
      </c>
      <c r="G24" s="23">
        <f>'Sch TOU-PA Cust Fcst'!C23*'Non-Residential TSM UC Adj'!K24</f>
        <v>0</v>
      </c>
      <c r="H24" s="23">
        <f>'Sch TOU-PA Cust Fcst'!C23*'Non-Residential TSM UC Adj'!L24</f>
        <v>0</v>
      </c>
      <c r="I24" s="41">
        <f>IF(SUM(F24:H24)=0,0,SUM(F24:H24)/'Sch TOU-PA Cust Fcst'!C23)</f>
        <v>0</v>
      </c>
      <c r="J24" s="109">
        <f>'Sch TOU-PA Cust Fcst'!D23*'Non-Residential TSM UC Adj'!J24</f>
        <v>0</v>
      </c>
      <c r="K24" s="23">
        <f>'Sch TOU-PA Cust Fcst'!D23*'Non-Residential TSM UC Adj'!K24</f>
        <v>0</v>
      </c>
      <c r="L24" s="23">
        <f>'Sch TOU-PA Cust Fcst'!D23*'Non-Residential TSM UC Adj'!L24</f>
        <v>0</v>
      </c>
      <c r="M24" s="41">
        <f>IF(SUM(J24:L24)=0,0,SUM(J24:L24)/'Sch TOU-PA Cust Fcst'!D23)</f>
        <v>0</v>
      </c>
      <c r="N24" s="109">
        <f>'Sch TOU-PA Cust Fcst'!E23*'Non-Residential TSM UC Adj'!N24</f>
        <v>0</v>
      </c>
      <c r="O24" s="23">
        <f>'Sch TOU-PA Cust Fcst'!E23*'Non-Residential TSM UC Adj'!O24</f>
        <v>0</v>
      </c>
      <c r="P24" s="23">
        <f>'Sch TOU-PA Cust Fcst'!E23*'Non-Residential TSM UC Adj'!P24</f>
        <v>0</v>
      </c>
      <c r="Q24" s="41">
        <f>IF(SUM(N24:P24)=0,0,SUM(N24:P24)/'Sch TOU-PA Cust Fcst'!E23)</f>
        <v>0</v>
      </c>
      <c r="R24" s="109">
        <f t="shared" si="0"/>
        <v>0</v>
      </c>
      <c r="S24" s="23">
        <f t="shared" si="0"/>
        <v>0</v>
      </c>
      <c r="T24" s="23">
        <f t="shared" si="0"/>
        <v>0</v>
      </c>
      <c r="U24" s="41">
        <f>IF(SUM(R24:T24)=0,0,SUM(R24:T24)/'Sch TOU-PA Cust Fcst'!F23)</f>
        <v>0</v>
      </c>
      <c r="V24" s="33">
        <f>'Sch TOU-PA Cust Fcst'!G23*'Non-Residential TSM UC Adj'!R24</f>
        <v>0</v>
      </c>
      <c r="W24" s="23">
        <f>'Sch TOU-PA Cust Fcst'!G23*'Non-Residential TSM UC Adj'!S24</f>
        <v>0</v>
      </c>
      <c r="X24" s="23">
        <f>'Sch TOU-PA Cust Fcst'!G23*'Non-Residential TSM UC Adj'!T24</f>
        <v>0</v>
      </c>
      <c r="Y24" s="41">
        <f>IF(SUM(V24:X24)=0,0,SUM(V24:X24)/'Sch TOU-PA Cust Fcst'!G23)</f>
        <v>0</v>
      </c>
      <c r="Z24" s="23">
        <f t="shared" si="1"/>
        <v>0</v>
      </c>
      <c r="AA24" s="23">
        <f t="shared" si="1"/>
        <v>0</v>
      </c>
      <c r="AB24" s="23">
        <f t="shared" si="1"/>
        <v>0</v>
      </c>
      <c r="AC24" s="41">
        <f>IF(SUM(Z24:AB24)=0,0,SUM(Z24:AB24)/'Sch TOU-PA Cust Fcst'!H23)</f>
        <v>0</v>
      </c>
    </row>
    <row r="25" spans="1:29" ht="13">
      <c r="A25" s="126" t="s">
        <v>17</v>
      </c>
      <c r="B25" s="109">
        <f>'Sch TOU-PA Cust Fcst'!B24*'Non-Residential TSM UC Adj'!J25</f>
        <v>0</v>
      </c>
      <c r="C25" s="23">
        <f>'Sch TOU-PA Cust Fcst'!B24*'Non-Residential TSM UC Adj'!K25</f>
        <v>0</v>
      </c>
      <c r="D25" s="23">
        <f>'Sch TOU-PA Cust Fcst'!B24*'Non-Residential TSM UC Adj'!L25</f>
        <v>0</v>
      </c>
      <c r="E25" s="41">
        <f>IF(SUM(B25:D25)=0,0,SUM(B25:D25)/'Sch TOU-PA Cust Fcst'!B24)</f>
        <v>0</v>
      </c>
      <c r="F25" s="109">
        <f>'Sch TOU-PA Cust Fcst'!C24*'Non-Residential TSM UC Adj'!J25</f>
        <v>0</v>
      </c>
      <c r="G25" s="23">
        <f>'Sch TOU-PA Cust Fcst'!C24*'Non-Residential TSM UC Adj'!K25</f>
        <v>0</v>
      </c>
      <c r="H25" s="23">
        <f>'Sch TOU-PA Cust Fcst'!C24*'Non-Residential TSM UC Adj'!L25</f>
        <v>0</v>
      </c>
      <c r="I25" s="41">
        <f>IF(SUM(F25:H25)=0,0,SUM(F25:H25)/'Sch TOU-PA Cust Fcst'!C24)</f>
        <v>0</v>
      </c>
      <c r="J25" s="109">
        <f>'Sch TOU-PA Cust Fcst'!D24*'Non-Residential TSM UC Adj'!J25</f>
        <v>0</v>
      </c>
      <c r="K25" s="23">
        <f>'Sch TOU-PA Cust Fcst'!D24*'Non-Residential TSM UC Adj'!K25</f>
        <v>0</v>
      </c>
      <c r="L25" s="23">
        <f>'Sch TOU-PA Cust Fcst'!D24*'Non-Residential TSM UC Adj'!L25</f>
        <v>0</v>
      </c>
      <c r="M25" s="41">
        <f>IF(SUM(J25:L25)=0,0,SUM(J25:L25)/'Sch TOU-PA Cust Fcst'!D24)</f>
        <v>0</v>
      </c>
      <c r="N25" s="109">
        <f>'Sch TOU-PA Cust Fcst'!E24*'Non-Residential TSM UC Adj'!N25</f>
        <v>0</v>
      </c>
      <c r="O25" s="23">
        <f>'Sch TOU-PA Cust Fcst'!E24*'Non-Residential TSM UC Adj'!O25</f>
        <v>0</v>
      </c>
      <c r="P25" s="23">
        <f>'Sch TOU-PA Cust Fcst'!E24*'Non-Residential TSM UC Adj'!P25</f>
        <v>0</v>
      </c>
      <c r="Q25" s="41">
        <f>IF(SUM(N25:P25)=0,0,SUM(N25:P25)/'Sch TOU-PA Cust Fcst'!E24)</f>
        <v>0</v>
      </c>
      <c r="R25" s="109">
        <f t="shared" si="0"/>
        <v>0</v>
      </c>
      <c r="S25" s="23">
        <f t="shared" si="0"/>
        <v>0</v>
      </c>
      <c r="T25" s="23">
        <f t="shared" si="0"/>
        <v>0</v>
      </c>
      <c r="U25" s="41">
        <f>IF(SUM(R25:T25)=0,0,SUM(R25:T25)/'Sch TOU-PA Cust Fcst'!F24)</f>
        <v>0</v>
      </c>
      <c r="V25" s="33">
        <f>'Sch TOU-PA Cust Fcst'!G24*'Non-Residential TSM UC Adj'!R25</f>
        <v>0</v>
      </c>
      <c r="W25" s="23">
        <f>'Sch TOU-PA Cust Fcst'!G24*'Non-Residential TSM UC Adj'!S25</f>
        <v>0</v>
      </c>
      <c r="X25" s="23">
        <f>'Sch TOU-PA Cust Fcst'!G24*'Non-Residential TSM UC Adj'!T25</f>
        <v>0</v>
      </c>
      <c r="Y25" s="41">
        <f>IF(SUM(V25:X25)=0,0,SUM(V25:X25)/'Sch TOU-PA Cust Fcst'!G24)</f>
        <v>0</v>
      </c>
      <c r="Z25" s="23">
        <f t="shared" si="1"/>
        <v>0</v>
      </c>
      <c r="AA25" s="23">
        <f t="shared" si="1"/>
        <v>0</v>
      </c>
      <c r="AB25" s="23">
        <f t="shared" si="1"/>
        <v>0</v>
      </c>
      <c r="AC25" s="41">
        <f>IF(SUM(Z25:AB25)=0,0,SUM(Z25:AB25)/'Sch TOU-PA Cust Fcst'!H24)</f>
        <v>0</v>
      </c>
    </row>
    <row r="26" spans="1:29" ht="13">
      <c r="A26" s="126" t="s">
        <v>18</v>
      </c>
      <c r="B26" s="109">
        <f>'Sch TOU-PA Cust Fcst'!B25*'Non-Residential TSM UC Adj'!J26</f>
        <v>0</v>
      </c>
      <c r="C26" s="23">
        <f>'Sch TOU-PA Cust Fcst'!B25*'Non-Residential TSM UC Adj'!K26</f>
        <v>0</v>
      </c>
      <c r="D26" s="23">
        <f>'Sch TOU-PA Cust Fcst'!B25*'Non-Residential TSM UC Adj'!L26</f>
        <v>0</v>
      </c>
      <c r="E26" s="41">
        <f>IF(SUM(B26:D26)=0,0,SUM(B26:D26)/'Sch TOU-PA Cust Fcst'!B25)</f>
        <v>0</v>
      </c>
      <c r="F26" s="109">
        <f>'Sch TOU-PA Cust Fcst'!C25*'Non-Residential TSM UC Adj'!J26</f>
        <v>0</v>
      </c>
      <c r="G26" s="23">
        <f>'Sch TOU-PA Cust Fcst'!C25*'Non-Residential TSM UC Adj'!K26</f>
        <v>0</v>
      </c>
      <c r="H26" s="23">
        <f>'Sch TOU-PA Cust Fcst'!C25*'Non-Residential TSM UC Adj'!L26</f>
        <v>0</v>
      </c>
      <c r="I26" s="41">
        <f>IF(SUM(F26:H26)=0,0,SUM(F26:H26)/'Sch TOU-PA Cust Fcst'!C25)</f>
        <v>0</v>
      </c>
      <c r="J26" s="109">
        <f>'Sch TOU-PA Cust Fcst'!D25*'Non-Residential TSM UC Adj'!J26</f>
        <v>0</v>
      </c>
      <c r="K26" s="23">
        <f>'Sch TOU-PA Cust Fcst'!D25*'Non-Residential TSM UC Adj'!K26</f>
        <v>0</v>
      </c>
      <c r="L26" s="23">
        <f>'Sch TOU-PA Cust Fcst'!D25*'Non-Residential TSM UC Adj'!L26</f>
        <v>0</v>
      </c>
      <c r="M26" s="41">
        <f>IF(SUM(J26:L26)=0,0,SUM(J26:L26)/'Sch TOU-PA Cust Fcst'!D25)</f>
        <v>0</v>
      </c>
      <c r="N26" s="109">
        <f>'Sch TOU-PA Cust Fcst'!E25*'Non-Residential TSM UC Adj'!N26</f>
        <v>0</v>
      </c>
      <c r="O26" s="23">
        <f>'Sch TOU-PA Cust Fcst'!E25*'Non-Residential TSM UC Adj'!O26</f>
        <v>0</v>
      </c>
      <c r="P26" s="23">
        <f>'Sch TOU-PA Cust Fcst'!E25*'Non-Residential TSM UC Adj'!P26</f>
        <v>0</v>
      </c>
      <c r="Q26" s="41">
        <f>IF(SUM(N26:P26)=0,0,SUM(N26:P26)/'Sch TOU-PA Cust Fcst'!E25)</f>
        <v>0</v>
      </c>
      <c r="R26" s="109">
        <f t="shared" si="0"/>
        <v>0</v>
      </c>
      <c r="S26" s="23">
        <f t="shared" si="0"/>
        <v>0</v>
      </c>
      <c r="T26" s="23">
        <f t="shared" si="0"/>
        <v>0</v>
      </c>
      <c r="U26" s="41">
        <f>IF(SUM(R26:T26)=0,0,SUM(R26:T26)/'Sch TOU-PA Cust Fcst'!F25)</f>
        <v>0</v>
      </c>
      <c r="V26" s="33">
        <f>'Sch TOU-PA Cust Fcst'!G25*'Non-Residential TSM UC Adj'!R26</f>
        <v>0</v>
      </c>
      <c r="W26" s="23">
        <f>'Sch TOU-PA Cust Fcst'!G25*'Non-Residential TSM UC Adj'!S26</f>
        <v>0</v>
      </c>
      <c r="X26" s="23">
        <f>'Sch TOU-PA Cust Fcst'!G25*'Non-Residential TSM UC Adj'!T26</f>
        <v>0</v>
      </c>
      <c r="Y26" s="41">
        <f>IF(SUM(V26:X26)=0,0,SUM(V26:X26)/'Sch TOU-PA Cust Fcst'!G25)</f>
        <v>0</v>
      </c>
      <c r="Z26" s="23">
        <f t="shared" si="1"/>
        <v>0</v>
      </c>
      <c r="AA26" s="23">
        <f t="shared" si="1"/>
        <v>0</v>
      </c>
      <c r="AB26" s="23">
        <f t="shared" si="1"/>
        <v>0</v>
      </c>
      <c r="AC26" s="41">
        <f>IF(SUM(Z26:AB26)=0,0,SUM(Z26:AB26)/'Sch TOU-PA Cust Fcst'!H25)</f>
        <v>0</v>
      </c>
    </row>
    <row r="27" spans="1:29" ht="13">
      <c r="A27" s="126" t="s">
        <v>19</v>
      </c>
      <c r="B27" s="109">
        <f>'Sch TOU-PA Cust Fcst'!B26*'Non-Residential TSM UC Adj'!J27</f>
        <v>0</v>
      </c>
      <c r="C27" s="23">
        <f>'Sch TOU-PA Cust Fcst'!B26*'Non-Residential TSM UC Adj'!K27</f>
        <v>0</v>
      </c>
      <c r="D27" s="23">
        <f>'Sch TOU-PA Cust Fcst'!B26*'Non-Residential TSM UC Adj'!L27</f>
        <v>0</v>
      </c>
      <c r="E27" s="41">
        <f>IF(SUM(B27:D27)=0,0,SUM(B27:D27)/'Sch TOU-PA Cust Fcst'!B26)</f>
        <v>0</v>
      </c>
      <c r="F27" s="109">
        <f>'Sch TOU-PA Cust Fcst'!C26*'Non-Residential TSM UC Adj'!J27</f>
        <v>0</v>
      </c>
      <c r="G27" s="23">
        <f>'Sch TOU-PA Cust Fcst'!C26*'Non-Residential TSM UC Adj'!K27</f>
        <v>0</v>
      </c>
      <c r="H27" s="23">
        <f>'Sch TOU-PA Cust Fcst'!C26*'Non-Residential TSM UC Adj'!L27</f>
        <v>0</v>
      </c>
      <c r="I27" s="41">
        <f>IF(SUM(F27:H27)=0,0,SUM(F27:H27)/'Sch TOU-PA Cust Fcst'!C26)</f>
        <v>0</v>
      </c>
      <c r="J27" s="109">
        <f>'Sch TOU-PA Cust Fcst'!D26*'Non-Residential TSM UC Adj'!J27</f>
        <v>0</v>
      </c>
      <c r="K27" s="23">
        <f>'Sch TOU-PA Cust Fcst'!D26*'Non-Residential TSM UC Adj'!K27</f>
        <v>0</v>
      </c>
      <c r="L27" s="23">
        <f>'Sch TOU-PA Cust Fcst'!D26*'Non-Residential TSM UC Adj'!L27</f>
        <v>0</v>
      </c>
      <c r="M27" s="41">
        <f>IF(SUM(J27:L27)=0,0,SUM(J27:L27)/'Sch TOU-PA Cust Fcst'!D26)</f>
        <v>0</v>
      </c>
      <c r="N27" s="109">
        <f>'Sch TOU-PA Cust Fcst'!E26*'Non-Residential TSM UC Adj'!N27</f>
        <v>0</v>
      </c>
      <c r="O27" s="23">
        <f>'Sch TOU-PA Cust Fcst'!E26*'Non-Residential TSM UC Adj'!O27</f>
        <v>0</v>
      </c>
      <c r="P27" s="23">
        <f>'Sch TOU-PA Cust Fcst'!E26*'Non-Residential TSM UC Adj'!P27</f>
        <v>0</v>
      </c>
      <c r="Q27" s="41">
        <f>IF(SUM(N27:P27)=0,0,SUM(N27:P27)/'Sch TOU-PA Cust Fcst'!E26)</f>
        <v>0</v>
      </c>
      <c r="R27" s="109">
        <f t="shared" si="0"/>
        <v>0</v>
      </c>
      <c r="S27" s="23">
        <f t="shared" si="0"/>
        <v>0</v>
      </c>
      <c r="T27" s="23">
        <f t="shared" si="0"/>
        <v>0</v>
      </c>
      <c r="U27" s="41">
        <f>IF(SUM(R27:T27)=0,0,SUM(R27:T27)/'Sch TOU-PA Cust Fcst'!F26)</f>
        <v>0</v>
      </c>
      <c r="V27" s="33">
        <f>'Sch TOU-PA Cust Fcst'!G26*'Non-Residential TSM UC Adj'!R27</f>
        <v>0</v>
      </c>
      <c r="W27" s="23">
        <f>'Sch TOU-PA Cust Fcst'!G26*'Non-Residential TSM UC Adj'!S27</f>
        <v>0</v>
      </c>
      <c r="X27" s="23">
        <f>'Sch TOU-PA Cust Fcst'!G26*'Non-Residential TSM UC Adj'!T27</f>
        <v>0</v>
      </c>
      <c r="Y27" s="41">
        <f>IF(SUM(V27:X27)=0,0,SUM(V27:X27)/'Sch TOU-PA Cust Fcst'!G26)</f>
        <v>0</v>
      </c>
      <c r="Z27" s="23">
        <f t="shared" si="1"/>
        <v>0</v>
      </c>
      <c r="AA27" s="23">
        <f t="shared" si="1"/>
        <v>0</v>
      </c>
      <c r="AB27" s="23">
        <f t="shared" si="1"/>
        <v>0</v>
      </c>
      <c r="AC27" s="41">
        <f>IF(SUM(Z27:AB27)=0,0,SUM(Z27:AB27)/'Sch TOU-PA Cust Fcst'!H26)</f>
        <v>0</v>
      </c>
    </row>
    <row r="28" spans="1:29" ht="13">
      <c r="A28" s="126" t="s">
        <v>20</v>
      </c>
      <c r="B28" s="109">
        <f>'Sch TOU-PA Cust Fcst'!B27*'Non-Residential TSM UC Adj'!J28</f>
        <v>0</v>
      </c>
      <c r="C28" s="23">
        <f>'Sch TOU-PA Cust Fcst'!B27*'Non-Residential TSM UC Adj'!K28</f>
        <v>0</v>
      </c>
      <c r="D28" s="23">
        <f>'Sch TOU-PA Cust Fcst'!B27*'Non-Residential TSM UC Adj'!L28</f>
        <v>0</v>
      </c>
      <c r="E28" s="41">
        <f>IF(SUM(B28:D28)=0,0,SUM(B28:D28)/'Sch TOU-PA Cust Fcst'!B27)</f>
        <v>0</v>
      </c>
      <c r="F28" s="109">
        <f>'Sch TOU-PA Cust Fcst'!C27*'Non-Residential TSM UC Adj'!J28</f>
        <v>0</v>
      </c>
      <c r="G28" s="23">
        <f>'Sch TOU-PA Cust Fcst'!C27*'Non-Residential TSM UC Adj'!K28</f>
        <v>0</v>
      </c>
      <c r="H28" s="23">
        <f>'Sch TOU-PA Cust Fcst'!C27*'Non-Residential TSM UC Adj'!L28</f>
        <v>0</v>
      </c>
      <c r="I28" s="41">
        <f>IF(SUM(F28:H28)=0,0,SUM(F28:H28)/'Sch TOU-PA Cust Fcst'!C27)</f>
        <v>0</v>
      </c>
      <c r="J28" s="109">
        <f>'Sch TOU-PA Cust Fcst'!D27*'Non-Residential TSM UC Adj'!J28</f>
        <v>0</v>
      </c>
      <c r="K28" s="23">
        <f>'Sch TOU-PA Cust Fcst'!D27*'Non-Residential TSM UC Adj'!K28</f>
        <v>0</v>
      </c>
      <c r="L28" s="23">
        <f>'Sch TOU-PA Cust Fcst'!D27*'Non-Residential TSM UC Adj'!L28</f>
        <v>0</v>
      </c>
      <c r="M28" s="41">
        <f>IF(SUM(J28:L28)=0,0,SUM(J28:L28)/'Sch TOU-PA Cust Fcst'!D27)</f>
        <v>0</v>
      </c>
      <c r="N28" s="109">
        <f>'Sch TOU-PA Cust Fcst'!E27*'Non-Residential TSM UC Adj'!N28</f>
        <v>0</v>
      </c>
      <c r="O28" s="23">
        <f>'Sch TOU-PA Cust Fcst'!E27*'Non-Residential TSM UC Adj'!O28</f>
        <v>0</v>
      </c>
      <c r="P28" s="23">
        <f>'Sch TOU-PA Cust Fcst'!E27*'Non-Residential TSM UC Adj'!P28</f>
        <v>0</v>
      </c>
      <c r="Q28" s="41">
        <f>IF(SUM(N28:P28)=0,0,SUM(N28:P28)/'Sch TOU-PA Cust Fcst'!E27)</f>
        <v>0</v>
      </c>
      <c r="R28" s="109">
        <f t="shared" si="0"/>
        <v>0</v>
      </c>
      <c r="S28" s="23">
        <f t="shared" si="0"/>
        <v>0</v>
      </c>
      <c r="T28" s="23">
        <f t="shared" si="0"/>
        <v>0</v>
      </c>
      <c r="U28" s="41">
        <f>IF(SUM(R28:T28)=0,0,SUM(R28:T28)/'Sch TOU-PA Cust Fcst'!F27)</f>
        <v>0</v>
      </c>
      <c r="V28" s="33">
        <f>'Sch TOU-PA Cust Fcst'!G27*'Non-Residential TSM UC Adj'!R28</f>
        <v>0</v>
      </c>
      <c r="W28" s="23">
        <f>'Sch TOU-PA Cust Fcst'!G27*'Non-Residential TSM UC Adj'!S28</f>
        <v>0</v>
      </c>
      <c r="X28" s="23">
        <f>'Sch TOU-PA Cust Fcst'!G27*'Non-Residential TSM UC Adj'!T28</f>
        <v>0</v>
      </c>
      <c r="Y28" s="41">
        <f>IF(SUM(V28:X28)=0,0,SUM(V28:X28)/'Sch TOU-PA Cust Fcst'!G27)</f>
        <v>0</v>
      </c>
      <c r="Z28" s="23">
        <f t="shared" si="1"/>
        <v>0</v>
      </c>
      <c r="AA28" s="23">
        <f t="shared" si="1"/>
        <v>0</v>
      </c>
      <c r="AB28" s="23">
        <f t="shared" si="1"/>
        <v>0</v>
      </c>
      <c r="AC28" s="41">
        <f>IF(SUM(Z28:AB28)=0,0,SUM(Z28:AB28)/'Sch TOU-PA Cust Fcst'!H27)</f>
        <v>0</v>
      </c>
    </row>
    <row r="29" spans="1:29" ht="13">
      <c r="A29" s="126" t="s">
        <v>21</v>
      </c>
      <c r="B29" s="109">
        <f>'Sch TOU-PA Cust Fcst'!B28*'Non-Residential TSM UC Adj'!J29</f>
        <v>0</v>
      </c>
      <c r="C29" s="23">
        <f>'Sch TOU-PA Cust Fcst'!B28*'Non-Residential TSM UC Adj'!K29</f>
        <v>0</v>
      </c>
      <c r="D29" s="23">
        <f>'Sch TOU-PA Cust Fcst'!B28*'Non-Residential TSM UC Adj'!L29</f>
        <v>0</v>
      </c>
      <c r="E29" s="41">
        <f>IF(SUM(B29:D29)=0,0,SUM(B29:D29)/'Sch TOU-PA Cust Fcst'!B28)</f>
        <v>0</v>
      </c>
      <c r="F29" s="109">
        <f>'Sch TOU-PA Cust Fcst'!C28*'Non-Residential TSM UC Adj'!J29</f>
        <v>0</v>
      </c>
      <c r="G29" s="23">
        <f>'Sch TOU-PA Cust Fcst'!C28*'Non-Residential TSM UC Adj'!K29</f>
        <v>0</v>
      </c>
      <c r="H29" s="23">
        <f>'Sch TOU-PA Cust Fcst'!C28*'Non-Residential TSM UC Adj'!L29</f>
        <v>0</v>
      </c>
      <c r="I29" s="41">
        <f>IF(SUM(F29:H29)=0,0,SUM(F29:H29)/'Sch TOU-PA Cust Fcst'!C28)</f>
        <v>0</v>
      </c>
      <c r="J29" s="109">
        <f>'Sch TOU-PA Cust Fcst'!D28*'Non-Residential TSM UC Adj'!J29</f>
        <v>0</v>
      </c>
      <c r="K29" s="23">
        <f>'Sch TOU-PA Cust Fcst'!D28*'Non-Residential TSM UC Adj'!K29</f>
        <v>0</v>
      </c>
      <c r="L29" s="23">
        <f>'Sch TOU-PA Cust Fcst'!D28*'Non-Residential TSM UC Adj'!L29</f>
        <v>0</v>
      </c>
      <c r="M29" s="41">
        <f>IF(SUM(J29:L29)=0,0,SUM(J29:L29)/'Sch TOU-PA Cust Fcst'!D28)</f>
        <v>0</v>
      </c>
      <c r="N29" s="109">
        <f>'Sch TOU-PA Cust Fcst'!E28*'Non-Residential TSM UC Adj'!N29</f>
        <v>0</v>
      </c>
      <c r="O29" s="23">
        <f>'Sch TOU-PA Cust Fcst'!E28*'Non-Residential TSM UC Adj'!O29</f>
        <v>0</v>
      </c>
      <c r="P29" s="23">
        <f>'Sch TOU-PA Cust Fcst'!E28*'Non-Residential TSM UC Adj'!P29</f>
        <v>0</v>
      </c>
      <c r="Q29" s="41">
        <f>IF(SUM(N29:P29)=0,0,SUM(N29:P29)/'Sch TOU-PA Cust Fcst'!E28)</f>
        <v>0</v>
      </c>
      <c r="R29" s="109">
        <f t="shared" si="0"/>
        <v>0</v>
      </c>
      <c r="S29" s="23">
        <f t="shared" si="0"/>
        <v>0</v>
      </c>
      <c r="T29" s="23">
        <f t="shared" si="0"/>
        <v>0</v>
      </c>
      <c r="U29" s="41">
        <f>IF(SUM(R29:T29)=0,0,SUM(R29:T29)/'Sch TOU-PA Cust Fcst'!F28)</f>
        <v>0</v>
      </c>
      <c r="V29" s="33">
        <f>'Sch TOU-PA Cust Fcst'!G28*'Non-Residential TSM UC Adj'!R29</f>
        <v>0</v>
      </c>
      <c r="W29" s="23">
        <f>'Sch TOU-PA Cust Fcst'!G28*'Non-Residential TSM UC Adj'!S29</f>
        <v>0</v>
      </c>
      <c r="X29" s="23">
        <f>'Sch TOU-PA Cust Fcst'!G28*'Non-Residential TSM UC Adj'!T29</f>
        <v>0</v>
      </c>
      <c r="Y29" s="41">
        <f>IF(SUM(V29:X29)=0,0,SUM(V29:X29)/'Sch TOU-PA Cust Fcst'!G28)</f>
        <v>0</v>
      </c>
      <c r="Z29" s="23">
        <f t="shared" si="1"/>
        <v>0</v>
      </c>
      <c r="AA29" s="23">
        <f t="shared" si="1"/>
        <v>0</v>
      </c>
      <c r="AB29" s="23">
        <f t="shared" si="1"/>
        <v>0</v>
      </c>
      <c r="AC29" s="41">
        <f>IF(SUM(Z29:AB29)=0,0,SUM(Z29:AB29)/'Sch TOU-PA Cust Fcst'!H28)</f>
        <v>0</v>
      </c>
    </row>
    <row r="30" spans="1:29" ht="13">
      <c r="A30" s="126" t="s">
        <v>22</v>
      </c>
      <c r="B30" s="109">
        <f>'Sch TOU-PA Cust Fcst'!B29*'Non-Residential TSM UC Adj'!J30</f>
        <v>0</v>
      </c>
      <c r="C30" s="23">
        <f>'Sch TOU-PA Cust Fcst'!B29*'Non-Residential TSM UC Adj'!K30</f>
        <v>0</v>
      </c>
      <c r="D30" s="23">
        <f>'Sch TOU-PA Cust Fcst'!B29*'Non-Residential TSM UC Adj'!L30</f>
        <v>0</v>
      </c>
      <c r="E30" s="41">
        <f>IF(SUM(B30:D30)=0,0,SUM(B30:D30)/'Sch TOU-PA Cust Fcst'!B29)</f>
        <v>0</v>
      </c>
      <c r="F30" s="109">
        <f>'Sch TOU-PA Cust Fcst'!C29*'Non-Residential TSM UC Adj'!J30</f>
        <v>0</v>
      </c>
      <c r="G30" s="23">
        <f>'Sch TOU-PA Cust Fcst'!C29*'Non-Residential TSM UC Adj'!K30</f>
        <v>0</v>
      </c>
      <c r="H30" s="23">
        <f>'Sch TOU-PA Cust Fcst'!C29*'Non-Residential TSM UC Adj'!L30</f>
        <v>0</v>
      </c>
      <c r="I30" s="41">
        <f>IF(SUM(F30:H30)=0,0,SUM(F30:H30)/'Sch TOU-PA Cust Fcst'!C29)</f>
        <v>0</v>
      </c>
      <c r="J30" s="109">
        <f>'Sch TOU-PA Cust Fcst'!D29*'Non-Residential TSM UC Adj'!J30</f>
        <v>0</v>
      </c>
      <c r="K30" s="23">
        <f>'Sch TOU-PA Cust Fcst'!D29*'Non-Residential TSM UC Adj'!K30</f>
        <v>0</v>
      </c>
      <c r="L30" s="23">
        <f>'Sch TOU-PA Cust Fcst'!D29*'Non-Residential TSM UC Adj'!L30</f>
        <v>0</v>
      </c>
      <c r="M30" s="41">
        <f>IF(SUM(J30:L30)=0,0,SUM(J30:L30)/'Sch TOU-PA Cust Fcst'!D29)</f>
        <v>0</v>
      </c>
      <c r="N30" s="109">
        <f>'Sch TOU-PA Cust Fcst'!E29*'Non-Residential TSM UC Adj'!N30</f>
        <v>0</v>
      </c>
      <c r="O30" s="23">
        <f>'Sch TOU-PA Cust Fcst'!E29*'Non-Residential TSM UC Adj'!O30</f>
        <v>0</v>
      </c>
      <c r="P30" s="23">
        <f>'Sch TOU-PA Cust Fcst'!E29*'Non-Residential TSM UC Adj'!P30</f>
        <v>0</v>
      </c>
      <c r="Q30" s="41">
        <f>IF(SUM(N30:P30)=0,0,SUM(N30:P30)/'Sch TOU-PA Cust Fcst'!E29)</f>
        <v>0</v>
      </c>
      <c r="R30" s="109">
        <f t="shared" si="0"/>
        <v>0</v>
      </c>
      <c r="S30" s="23">
        <f t="shared" si="0"/>
        <v>0</v>
      </c>
      <c r="T30" s="23">
        <f t="shared" si="0"/>
        <v>0</v>
      </c>
      <c r="U30" s="41">
        <f>IF(SUM(R30:T30)=0,0,SUM(R30:T30)/'Sch TOU-PA Cust Fcst'!F29)</f>
        <v>0</v>
      </c>
      <c r="V30" s="33">
        <f>'Sch TOU-PA Cust Fcst'!G29*'Non-Residential TSM UC Adj'!R30</f>
        <v>0</v>
      </c>
      <c r="W30" s="23">
        <f>'Sch TOU-PA Cust Fcst'!G29*'Non-Residential TSM UC Adj'!S30</f>
        <v>0</v>
      </c>
      <c r="X30" s="23">
        <f>'Sch TOU-PA Cust Fcst'!G29*'Non-Residential TSM UC Adj'!T30</f>
        <v>0</v>
      </c>
      <c r="Y30" s="41">
        <f>IF(SUM(V30:X30)=0,0,SUM(V30:X30)/'Sch TOU-PA Cust Fcst'!G29)</f>
        <v>0</v>
      </c>
      <c r="Z30" s="23">
        <f t="shared" si="1"/>
        <v>0</v>
      </c>
      <c r="AA30" s="23">
        <f t="shared" si="1"/>
        <v>0</v>
      </c>
      <c r="AB30" s="23">
        <f t="shared" si="1"/>
        <v>0</v>
      </c>
      <c r="AC30" s="41">
        <f>IF(SUM(Z30:AB30)=0,0,SUM(Z30:AB30)/'Sch TOU-PA Cust Fcst'!H29)</f>
        <v>0</v>
      </c>
    </row>
    <row r="31" spans="1:29" ht="13">
      <c r="A31" s="124" t="s">
        <v>23</v>
      </c>
      <c r="B31" s="109">
        <f>'Sch TOU-PA Cust Fcst'!B30*'Non-Residential TSM UC Adj'!J31</f>
        <v>0</v>
      </c>
      <c r="C31" s="23">
        <f>'Sch TOU-PA Cust Fcst'!B30*'Non-Residential TSM UC Adj'!K31</f>
        <v>0</v>
      </c>
      <c r="D31" s="23">
        <f>'Sch TOU-PA Cust Fcst'!B30*'Non-Residential TSM UC Adj'!L31</f>
        <v>0</v>
      </c>
      <c r="E31" s="41">
        <f>IF(SUM(B31:D31)=0,0,SUM(B31:D31)/'Sch TOU-PA Cust Fcst'!B30)</f>
        <v>0</v>
      </c>
      <c r="F31" s="109">
        <f>'Sch TOU-PA Cust Fcst'!C30*'Non-Residential TSM UC Adj'!J31</f>
        <v>0</v>
      </c>
      <c r="G31" s="23">
        <f>'Sch TOU-PA Cust Fcst'!C30*'Non-Residential TSM UC Adj'!K31</f>
        <v>0</v>
      </c>
      <c r="H31" s="23">
        <f>'Sch TOU-PA Cust Fcst'!C30*'Non-Residential TSM UC Adj'!L31</f>
        <v>0</v>
      </c>
      <c r="I31" s="41">
        <f>IF(SUM(F31:H31)=0,0,SUM(F31:H31)/'Sch TOU-PA Cust Fcst'!C30)</f>
        <v>0</v>
      </c>
      <c r="J31" s="109">
        <f>'Sch TOU-PA Cust Fcst'!D30*'Non-Residential TSM UC Adj'!J31</f>
        <v>0</v>
      </c>
      <c r="K31" s="23">
        <f>'Sch TOU-PA Cust Fcst'!D30*'Non-Residential TSM UC Adj'!K31</f>
        <v>0</v>
      </c>
      <c r="L31" s="23">
        <f>'Sch TOU-PA Cust Fcst'!D30*'Non-Residential TSM UC Adj'!L31</f>
        <v>0</v>
      </c>
      <c r="M31" s="41">
        <f>IF(SUM(J31:L31)=0,0,SUM(J31:L31)/'Sch TOU-PA Cust Fcst'!D30)</f>
        <v>0</v>
      </c>
      <c r="N31" s="109">
        <f>'Sch TOU-PA Cust Fcst'!E30*'Non-Residential TSM UC Adj'!N31</f>
        <v>0</v>
      </c>
      <c r="O31" s="23">
        <f>'Sch TOU-PA Cust Fcst'!E30*'Non-Residential TSM UC Adj'!O31</f>
        <v>0</v>
      </c>
      <c r="P31" s="23">
        <f>'Sch TOU-PA Cust Fcst'!E30*'Non-Residential TSM UC Adj'!P31</f>
        <v>0</v>
      </c>
      <c r="Q31" s="41">
        <f>IF(SUM(N31:P31)=0,0,SUM(N31:P31)/'Sch TOU-PA Cust Fcst'!E30)</f>
        <v>0</v>
      </c>
      <c r="R31" s="109">
        <f t="shared" si="0"/>
        <v>0</v>
      </c>
      <c r="S31" s="23">
        <f t="shared" si="0"/>
        <v>0</v>
      </c>
      <c r="T31" s="23">
        <f t="shared" si="0"/>
        <v>0</v>
      </c>
      <c r="U31" s="41">
        <f>IF(SUM(R31:T31)=0,0,SUM(R31:T31)/'Sch TOU-PA Cust Fcst'!F30)</f>
        <v>0</v>
      </c>
      <c r="V31" s="33">
        <f>'Sch TOU-PA Cust Fcst'!G30*'Non-Residential TSM UC Adj'!R31</f>
        <v>0</v>
      </c>
      <c r="W31" s="23">
        <f>'Sch TOU-PA Cust Fcst'!G30*'Non-Residential TSM UC Adj'!S31</f>
        <v>0</v>
      </c>
      <c r="X31" s="23">
        <f>'Sch TOU-PA Cust Fcst'!G30*'Non-Residential TSM UC Adj'!T31</f>
        <v>0</v>
      </c>
      <c r="Y31" s="41">
        <f>IF(SUM(V31:X31)=0,0,SUM(V31:X31)/'Sch TOU-PA Cust Fcst'!G30)</f>
        <v>0</v>
      </c>
      <c r="Z31" s="23">
        <f t="shared" si="1"/>
        <v>0</v>
      </c>
      <c r="AA31" s="23">
        <f t="shared" si="1"/>
        <v>0</v>
      </c>
      <c r="AB31" s="23">
        <f t="shared" si="1"/>
        <v>0</v>
      </c>
      <c r="AC31" s="41">
        <f>IF(SUM(Z31:AB31)=0,0,SUM(Z31:AB31)/'Sch TOU-PA Cust Fcst'!H30)</f>
        <v>0</v>
      </c>
    </row>
    <row r="32" spans="1:29" ht="13">
      <c r="A32" s="124" t="s">
        <v>24</v>
      </c>
      <c r="B32" s="109">
        <f>'Sch TOU-PA Cust Fcst'!B31*'Non-Residential TSM UC Adj'!J32</f>
        <v>0</v>
      </c>
      <c r="C32" s="23">
        <f>'Sch TOU-PA Cust Fcst'!B31*'Non-Residential TSM UC Adj'!K32</f>
        <v>0</v>
      </c>
      <c r="D32" s="23">
        <f>'Sch TOU-PA Cust Fcst'!B31*'Non-Residential TSM UC Adj'!L32</f>
        <v>0</v>
      </c>
      <c r="E32" s="41">
        <f>IF(SUM(B32:D32)=0,0,SUM(B32:D32)/'Sch TOU-PA Cust Fcst'!B31)</f>
        <v>0</v>
      </c>
      <c r="F32" s="109">
        <f>'Sch TOU-PA Cust Fcst'!C31*'Non-Residential TSM UC Adj'!J32</f>
        <v>0</v>
      </c>
      <c r="G32" s="23">
        <f>'Sch TOU-PA Cust Fcst'!C31*'Non-Residential TSM UC Adj'!K32</f>
        <v>0</v>
      </c>
      <c r="H32" s="23">
        <f>'Sch TOU-PA Cust Fcst'!C31*'Non-Residential TSM UC Adj'!L32</f>
        <v>0</v>
      </c>
      <c r="I32" s="41">
        <f>IF(SUM(F32:H32)=0,0,SUM(F32:H32)/'Sch TOU-PA Cust Fcst'!C31)</f>
        <v>0</v>
      </c>
      <c r="J32" s="109">
        <f>'Sch TOU-PA Cust Fcst'!D31*'Non-Residential TSM UC Adj'!J32</f>
        <v>0</v>
      </c>
      <c r="K32" s="23">
        <f>'Sch TOU-PA Cust Fcst'!D31*'Non-Residential TSM UC Adj'!K32</f>
        <v>0</v>
      </c>
      <c r="L32" s="23">
        <f>'Sch TOU-PA Cust Fcst'!D31*'Non-Residential TSM UC Adj'!L32</f>
        <v>0</v>
      </c>
      <c r="M32" s="41">
        <f>IF(SUM(J32:L32)=0,0,SUM(J32:L32)/'Sch TOU-PA Cust Fcst'!D31)</f>
        <v>0</v>
      </c>
      <c r="N32" s="109">
        <f>'Sch TOU-PA Cust Fcst'!E31*'Non-Residential TSM UC Adj'!N32</f>
        <v>0</v>
      </c>
      <c r="O32" s="23">
        <f>'Sch TOU-PA Cust Fcst'!E31*'Non-Residential TSM UC Adj'!O32</f>
        <v>0</v>
      </c>
      <c r="P32" s="23">
        <f>'Sch TOU-PA Cust Fcst'!E31*'Non-Residential TSM UC Adj'!P32</f>
        <v>0</v>
      </c>
      <c r="Q32" s="41">
        <f>IF(SUM(N32:P32)=0,0,SUM(N32:P32)/'Sch TOU-PA Cust Fcst'!E31)</f>
        <v>0</v>
      </c>
      <c r="R32" s="109">
        <f t="shared" si="0"/>
        <v>0</v>
      </c>
      <c r="S32" s="23">
        <f t="shared" si="0"/>
        <v>0</v>
      </c>
      <c r="T32" s="23">
        <f t="shared" si="0"/>
        <v>0</v>
      </c>
      <c r="U32" s="41">
        <f>IF(SUM(R32:T32)=0,0,SUM(R32:T32)/'Sch TOU-PA Cust Fcst'!F31)</f>
        <v>0</v>
      </c>
      <c r="V32" s="33">
        <f>'Sch TOU-PA Cust Fcst'!G31*'Non-Residential TSM UC Adj'!R32</f>
        <v>0</v>
      </c>
      <c r="W32" s="23">
        <f>'Sch TOU-PA Cust Fcst'!G31*'Non-Residential TSM UC Adj'!S32</f>
        <v>0</v>
      </c>
      <c r="X32" s="23">
        <f>'Sch TOU-PA Cust Fcst'!G31*'Non-Residential TSM UC Adj'!T32</f>
        <v>0</v>
      </c>
      <c r="Y32" s="41">
        <f>IF(SUM(V32:X32)=0,0,SUM(V32:X32)/'Sch TOU-PA Cust Fcst'!G31)</f>
        <v>0</v>
      </c>
      <c r="Z32" s="23">
        <f t="shared" si="1"/>
        <v>0</v>
      </c>
      <c r="AA32" s="23">
        <f t="shared" si="1"/>
        <v>0</v>
      </c>
      <c r="AB32" s="23">
        <f t="shared" si="1"/>
        <v>0</v>
      </c>
      <c r="AC32" s="41">
        <f>IF(SUM(Z32:AB32)=0,0,SUM(Z32:AB32)/'Sch TOU-PA Cust Fcst'!H31)</f>
        <v>0</v>
      </c>
    </row>
    <row r="33" spans="1:29" ht="13">
      <c r="A33" s="124" t="s">
        <v>25</v>
      </c>
      <c r="B33" s="109">
        <f>'Sch TOU-PA Cust Fcst'!B32*'Non-Residential TSM UC Adj'!J33</f>
        <v>0</v>
      </c>
      <c r="C33" s="23">
        <f>'Sch TOU-PA Cust Fcst'!B32*'Non-Residential TSM UC Adj'!K33</f>
        <v>0</v>
      </c>
      <c r="D33" s="23">
        <f>'Sch TOU-PA Cust Fcst'!B32*'Non-Residential TSM UC Adj'!L33</f>
        <v>0</v>
      </c>
      <c r="E33" s="41">
        <f>IF(SUM(B33:D33)=0,0,SUM(B33:D33)/'Sch TOU-PA Cust Fcst'!B32)</f>
        <v>0</v>
      </c>
      <c r="F33" s="109">
        <f>'Sch TOU-PA Cust Fcst'!C32*'Non-Residential TSM UC Adj'!J33</f>
        <v>0</v>
      </c>
      <c r="G33" s="23">
        <f>'Sch TOU-PA Cust Fcst'!C32*'Non-Residential TSM UC Adj'!K33</f>
        <v>0</v>
      </c>
      <c r="H33" s="23">
        <f>'Sch TOU-PA Cust Fcst'!C32*'Non-Residential TSM UC Adj'!L33</f>
        <v>0</v>
      </c>
      <c r="I33" s="41">
        <f>IF(SUM(F33:H33)=0,0,SUM(F33:H33)/'Sch TOU-PA Cust Fcst'!C32)</f>
        <v>0</v>
      </c>
      <c r="J33" s="109">
        <f>'Sch TOU-PA Cust Fcst'!D32*'Non-Residential TSM UC Adj'!J33</f>
        <v>0</v>
      </c>
      <c r="K33" s="23">
        <f>'Sch TOU-PA Cust Fcst'!D32*'Non-Residential TSM UC Adj'!K33</f>
        <v>0</v>
      </c>
      <c r="L33" s="23">
        <f>'Sch TOU-PA Cust Fcst'!D32*'Non-Residential TSM UC Adj'!L33</f>
        <v>0</v>
      </c>
      <c r="M33" s="41">
        <f>IF(SUM(J33:L33)=0,0,SUM(J33:L33)/'Sch TOU-PA Cust Fcst'!D32)</f>
        <v>0</v>
      </c>
      <c r="N33" s="109">
        <f>'Sch TOU-PA Cust Fcst'!E32*'Non-Residential TSM UC Adj'!N33</f>
        <v>0</v>
      </c>
      <c r="O33" s="23">
        <f>'Sch TOU-PA Cust Fcst'!E32*'Non-Residential TSM UC Adj'!O33</f>
        <v>0</v>
      </c>
      <c r="P33" s="23">
        <f>'Sch TOU-PA Cust Fcst'!E32*'Non-Residential TSM UC Adj'!P33</f>
        <v>0</v>
      </c>
      <c r="Q33" s="41">
        <f>IF(SUM(N33:P33)=0,0,SUM(N33:P33)/'Sch TOU-PA Cust Fcst'!E32)</f>
        <v>0</v>
      </c>
      <c r="R33" s="109">
        <f t="shared" si="0"/>
        <v>0</v>
      </c>
      <c r="S33" s="23">
        <f t="shared" si="0"/>
        <v>0</v>
      </c>
      <c r="T33" s="23">
        <f t="shared" si="0"/>
        <v>0</v>
      </c>
      <c r="U33" s="41">
        <f>IF(SUM(R33:T33)=0,0,SUM(R33:T33)/'Sch TOU-PA Cust Fcst'!F32)</f>
        <v>0</v>
      </c>
      <c r="V33" s="33">
        <f>'Sch TOU-PA Cust Fcst'!G32*'Non-Residential TSM UC Adj'!R33</f>
        <v>0</v>
      </c>
      <c r="W33" s="23">
        <f>'Sch TOU-PA Cust Fcst'!G32*'Non-Residential TSM UC Adj'!S33</f>
        <v>0</v>
      </c>
      <c r="X33" s="23">
        <f>'Sch TOU-PA Cust Fcst'!G32*'Non-Residential TSM UC Adj'!T33</f>
        <v>0</v>
      </c>
      <c r="Y33" s="41">
        <f>IF(SUM(V33:X33)=0,0,SUM(V33:X33)/'Sch TOU-PA Cust Fcst'!G32)</f>
        <v>0</v>
      </c>
      <c r="Z33" s="23">
        <f t="shared" si="1"/>
        <v>0</v>
      </c>
      <c r="AA33" s="23">
        <f t="shared" si="1"/>
        <v>0</v>
      </c>
      <c r="AB33" s="23">
        <f t="shared" si="1"/>
        <v>0</v>
      </c>
      <c r="AC33" s="41">
        <f>IF(SUM(Z33:AB33)=0,0,SUM(Z33:AB33)/'Sch TOU-PA Cust Fcst'!H32)</f>
        <v>0</v>
      </c>
    </row>
    <row r="34" spans="1:29" ht="13">
      <c r="A34" s="124" t="s">
        <v>106</v>
      </c>
      <c r="B34" s="109">
        <f>'Sch TOU-PA Cust Fcst'!B33*'Non-Residential TSM UC Adj'!J34</f>
        <v>0</v>
      </c>
      <c r="C34" s="23">
        <f>'Sch TOU-PA Cust Fcst'!B33*'Non-Residential TSM UC Adj'!K34</f>
        <v>0</v>
      </c>
      <c r="D34" s="23">
        <f>'Sch TOU-PA Cust Fcst'!B33*'Non-Residential TSM UC Adj'!L34</f>
        <v>0</v>
      </c>
      <c r="E34" s="41">
        <f>IF(SUM(B34:D34)=0,0,SUM(B34:D34)/'Sch TOU-PA Cust Fcst'!B33)</f>
        <v>0</v>
      </c>
      <c r="F34" s="109">
        <f>'Sch TOU-PA Cust Fcst'!C33*'Non-Residential TSM UC Adj'!J34</f>
        <v>0</v>
      </c>
      <c r="G34" s="23">
        <f>'Sch TOU-PA Cust Fcst'!C33*'Non-Residential TSM UC Adj'!K34</f>
        <v>0</v>
      </c>
      <c r="H34" s="23">
        <f>'Sch TOU-PA Cust Fcst'!C33*'Non-Residential TSM UC Adj'!L34</f>
        <v>0</v>
      </c>
      <c r="I34" s="41">
        <f>IF(SUM(F34:H34)=0,0,SUM(F34:H34)/'Sch TOU-PA Cust Fcst'!C33)</f>
        <v>0</v>
      </c>
      <c r="J34" s="109">
        <f>'Sch TOU-PA Cust Fcst'!D33*'Non-Residential TSM UC Adj'!J34</f>
        <v>0</v>
      </c>
      <c r="K34" s="23">
        <f>'Sch TOU-PA Cust Fcst'!D33*'Non-Residential TSM UC Adj'!K34</f>
        <v>0</v>
      </c>
      <c r="L34" s="23">
        <f>'Sch TOU-PA Cust Fcst'!D33*'Non-Residential TSM UC Adj'!L34</f>
        <v>0</v>
      </c>
      <c r="M34" s="41">
        <f>IF(SUM(J34:L34)=0,0,SUM(J34:L34)/'Sch TOU-PA Cust Fcst'!D33)</f>
        <v>0</v>
      </c>
      <c r="N34" s="109">
        <f>'Sch TOU-PA Cust Fcst'!E33*'Non-Residential TSM UC Adj'!N34</f>
        <v>0</v>
      </c>
      <c r="O34" s="23">
        <f>'Sch TOU-PA Cust Fcst'!E33*'Non-Residential TSM UC Adj'!O34</f>
        <v>0</v>
      </c>
      <c r="P34" s="23">
        <f>'Sch TOU-PA Cust Fcst'!E33*'Non-Residential TSM UC Adj'!P34</f>
        <v>0</v>
      </c>
      <c r="Q34" s="41">
        <f>IF(SUM(N34:P34)=0,0,SUM(N34:P34)/'Sch TOU-PA Cust Fcst'!E33)</f>
        <v>0</v>
      </c>
      <c r="R34" s="109">
        <f t="shared" si="0"/>
        <v>0</v>
      </c>
      <c r="S34" s="23">
        <f t="shared" si="0"/>
        <v>0</v>
      </c>
      <c r="T34" s="23">
        <f t="shared" si="0"/>
        <v>0</v>
      </c>
      <c r="U34" s="41">
        <f>IF(SUM(R34:T34)=0,0,SUM(R34:T34)/'Sch TOU-PA Cust Fcst'!F33)</f>
        <v>0</v>
      </c>
      <c r="V34" s="33">
        <f>'Sch TOU-PA Cust Fcst'!G33*'Non-Residential TSM UC Adj'!R34</f>
        <v>0</v>
      </c>
      <c r="W34" s="23">
        <f>'Sch TOU-PA Cust Fcst'!G33*'Non-Residential TSM UC Adj'!S34</f>
        <v>0</v>
      </c>
      <c r="X34" s="23">
        <f>'Sch TOU-PA Cust Fcst'!G33*'Non-Residential TSM UC Adj'!T34</f>
        <v>0</v>
      </c>
      <c r="Y34" s="41">
        <f>IF(SUM(V34:X34)=0,0,SUM(V34:X34)/'Sch TOU-PA Cust Fcst'!G33)</f>
        <v>0</v>
      </c>
      <c r="Z34" s="23">
        <f t="shared" si="1"/>
        <v>0</v>
      </c>
      <c r="AA34" s="23">
        <f t="shared" si="1"/>
        <v>0</v>
      </c>
      <c r="AB34" s="23">
        <f t="shared" si="1"/>
        <v>0</v>
      </c>
      <c r="AC34" s="41">
        <f>IF(SUM(Z34:AB34)=0,0,SUM(Z34:AB34)/'Sch TOU-PA Cust Fcst'!H33)</f>
        <v>0</v>
      </c>
    </row>
    <row r="35" spans="1:29" ht="13">
      <c r="A35" s="124" t="s">
        <v>107</v>
      </c>
      <c r="B35" s="109">
        <f>'Sch TOU-PA Cust Fcst'!B34*'Non-Residential TSM UC Adj'!J35</f>
        <v>0</v>
      </c>
      <c r="C35" s="23">
        <f>'Sch TOU-PA Cust Fcst'!B34*'Non-Residential TSM UC Adj'!K35</f>
        <v>0</v>
      </c>
      <c r="D35" s="23">
        <f>'Sch TOU-PA Cust Fcst'!B34*'Non-Residential TSM UC Adj'!L35</f>
        <v>0</v>
      </c>
      <c r="E35" s="41">
        <f>IF(SUM(B35:D35)=0,0,SUM(B35:D35)/'Sch TOU-PA Cust Fcst'!B34)</f>
        <v>0</v>
      </c>
      <c r="F35" s="109">
        <f>'Sch TOU-PA Cust Fcst'!C34*'Non-Residential TSM UC Adj'!J35</f>
        <v>0</v>
      </c>
      <c r="G35" s="23">
        <f>'Sch TOU-PA Cust Fcst'!C34*'Non-Residential TSM UC Adj'!K35</f>
        <v>0</v>
      </c>
      <c r="H35" s="23">
        <f>'Sch TOU-PA Cust Fcst'!C34*'Non-Residential TSM UC Adj'!L35</f>
        <v>0</v>
      </c>
      <c r="I35" s="41">
        <f>IF(SUM(F35:H35)=0,0,SUM(F35:H35)/'Sch TOU-PA Cust Fcst'!C34)</f>
        <v>0</v>
      </c>
      <c r="J35" s="109">
        <f>'Sch TOU-PA Cust Fcst'!D34*'Non-Residential TSM UC Adj'!J35</f>
        <v>0</v>
      </c>
      <c r="K35" s="23">
        <f>'Sch TOU-PA Cust Fcst'!D34*'Non-Residential TSM UC Adj'!K35</f>
        <v>0</v>
      </c>
      <c r="L35" s="23">
        <f>'Sch TOU-PA Cust Fcst'!D34*'Non-Residential TSM UC Adj'!L35</f>
        <v>0</v>
      </c>
      <c r="M35" s="41">
        <f>IF(SUM(J35:L35)=0,0,SUM(J35:L35)/'Sch TOU-PA Cust Fcst'!D34)</f>
        <v>0</v>
      </c>
      <c r="N35" s="109">
        <f>'Sch TOU-PA Cust Fcst'!E34*'Non-Residential TSM UC Adj'!N35</f>
        <v>0</v>
      </c>
      <c r="O35" s="23">
        <f>'Sch TOU-PA Cust Fcst'!E34*'Non-Residential TSM UC Adj'!O35</f>
        <v>0</v>
      </c>
      <c r="P35" s="23">
        <f>'Sch TOU-PA Cust Fcst'!E34*'Non-Residential TSM UC Adj'!P35</f>
        <v>0</v>
      </c>
      <c r="Q35" s="41">
        <f>IF(SUM(N35:P35)=0,0,SUM(N35:P35)/'Sch TOU-PA Cust Fcst'!E34)</f>
        <v>0</v>
      </c>
      <c r="R35" s="109">
        <f t="shared" si="0"/>
        <v>0</v>
      </c>
      <c r="S35" s="23">
        <f t="shared" si="0"/>
        <v>0</v>
      </c>
      <c r="T35" s="23">
        <f t="shared" si="0"/>
        <v>0</v>
      </c>
      <c r="U35" s="41">
        <f>IF(SUM(R35:T35)=0,0,SUM(R35:T35)/'Sch TOU-PA Cust Fcst'!F34)</f>
        <v>0</v>
      </c>
      <c r="V35" s="33">
        <f>'Sch TOU-PA Cust Fcst'!G34*'Non-Residential TSM UC Adj'!R35</f>
        <v>0</v>
      </c>
      <c r="W35" s="23">
        <f>'Sch TOU-PA Cust Fcst'!G34*'Non-Residential TSM UC Adj'!S35</f>
        <v>0</v>
      </c>
      <c r="X35" s="23">
        <f>'Sch TOU-PA Cust Fcst'!G34*'Non-Residential TSM UC Adj'!T35</f>
        <v>0</v>
      </c>
      <c r="Y35" s="41">
        <f>IF(SUM(V35:X35)=0,0,SUM(V35:X35)/'Sch TOU-PA Cust Fcst'!G34)</f>
        <v>0</v>
      </c>
      <c r="Z35" s="23">
        <f t="shared" si="1"/>
        <v>0</v>
      </c>
      <c r="AA35" s="23">
        <f t="shared" si="1"/>
        <v>0</v>
      </c>
      <c r="AB35" s="23">
        <f t="shared" si="1"/>
        <v>0</v>
      </c>
      <c r="AC35" s="41">
        <f>IF(SUM(Z35:AB35)=0,0,SUM(Z35:AB35)/'Sch TOU-PA Cust Fcst'!H34)</f>
        <v>0</v>
      </c>
    </row>
    <row r="36" spans="1:29" ht="13">
      <c r="A36" s="126" t="s">
        <v>26</v>
      </c>
      <c r="B36" s="109">
        <f>'Sch TOU-PA Cust Fcst'!B35*'Non-Residential TSM UC Adj'!J36</f>
        <v>0</v>
      </c>
      <c r="C36" s="23">
        <f>'Sch TOU-PA Cust Fcst'!B35*'Non-Residential TSM UC Adj'!K36</f>
        <v>0</v>
      </c>
      <c r="D36" s="23">
        <f>'Sch TOU-PA Cust Fcst'!B35*'Non-Residential TSM UC Adj'!L36</f>
        <v>0</v>
      </c>
      <c r="E36" s="41">
        <f>IF(SUM(B36:D36)=0,0,SUM(B36:D36)/'Sch TOU-PA Cust Fcst'!B35)</f>
        <v>0</v>
      </c>
      <c r="F36" s="109">
        <f>'Sch TOU-PA Cust Fcst'!C35*'Non-Residential TSM UC Adj'!J36</f>
        <v>0</v>
      </c>
      <c r="G36" s="23">
        <f>'Sch TOU-PA Cust Fcst'!C35*'Non-Residential TSM UC Adj'!K36</f>
        <v>0</v>
      </c>
      <c r="H36" s="23">
        <f>'Sch TOU-PA Cust Fcst'!C35*'Non-Residential TSM UC Adj'!L36</f>
        <v>0</v>
      </c>
      <c r="I36" s="41">
        <f>IF(SUM(F36:H36)=0,0,SUM(F36:H36)/'Sch TOU-PA Cust Fcst'!C35)</f>
        <v>0</v>
      </c>
      <c r="J36" s="109">
        <f>'Sch TOU-PA Cust Fcst'!D35*'Non-Residential TSM UC Adj'!J36</f>
        <v>0</v>
      </c>
      <c r="K36" s="23">
        <f>'Sch TOU-PA Cust Fcst'!D35*'Non-Residential TSM UC Adj'!K36</f>
        <v>0</v>
      </c>
      <c r="L36" s="23">
        <f>'Sch TOU-PA Cust Fcst'!D35*'Non-Residential TSM UC Adj'!L36</f>
        <v>0</v>
      </c>
      <c r="M36" s="41">
        <f>IF(SUM(J36:L36)=0,0,SUM(J36:L36)/'Sch TOU-PA Cust Fcst'!D35)</f>
        <v>0</v>
      </c>
      <c r="N36" s="109">
        <f>'Sch TOU-PA Cust Fcst'!E35*'Non-Residential TSM UC Adj'!N36</f>
        <v>0</v>
      </c>
      <c r="O36" s="23">
        <f>'Sch TOU-PA Cust Fcst'!E35*'Non-Residential TSM UC Adj'!O36</f>
        <v>0</v>
      </c>
      <c r="P36" s="23">
        <f>'Sch TOU-PA Cust Fcst'!E35*'Non-Residential TSM UC Adj'!P36</f>
        <v>0</v>
      </c>
      <c r="Q36" s="41">
        <f>IF(SUM(N36:P36)=0,0,SUM(N36:P36)/'Sch TOU-PA Cust Fcst'!E35)</f>
        <v>0</v>
      </c>
      <c r="R36" s="109">
        <f t="shared" si="0"/>
        <v>0</v>
      </c>
      <c r="S36" s="23">
        <f t="shared" si="0"/>
        <v>0</v>
      </c>
      <c r="T36" s="23">
        <f t="shared" si="0"/>
        <v>0</v>
      </c>
      <c r="U36" s="41">
        <f>IF(SUM(R36:T36)=0,0,SUM(R36:T36)/'Sch TOU-PA Cust Fcst'!F35)</f>
        <v>0</v>
      </c>
      <c r="V36" s="33">
        <f>'Sch TOU-PA Cust Fcst'!G35*'Non-Residential TSM UC Adj'!R36</f>
        <v>0</v>
      </c>
      <c r="W36" s="23">
        <f>'Sch TOU-PA Cust Fcst'!G35*'Non-Residential TSM UC Adj'!S36</f>
        <v>0</v>
      </c>
      <c r="X36" s="23">
        <f>'Sch TOU-PA Cust Fcst'!G35*'Non-Residential TSM UC Adj'!T36</f>
        <v>0</v>
      </c>
      <c r="Y36" s="41">
        <f>IF(SUM(V36:X36)=0,0,SUM(V36:X36)/'Sch TOU-PA Cust Fcst'!G35)</f>
        <v>0</v>
      </c>
      <c r="Z36" s="23">
        <f t="shared" si="1"/>
        <v>0</v>
      </c>
      <c r="AA36" s="23">
        <f t="shared" si="1"/>
        <v>0</v>
      </c>
      <c r="AB36" s="23">
        <f t="shared" si="1"/>
        <v>0</v>
      </c>
      <c r="AC36" s="41">
        <f>IF(SUM(Z36:AB36)=0,0,SUM(Z36:AB36)/'Sch TOU-PA Cust Fcst'!H35)</f>
        <v>0</v>
      </c>
    </row>
    <row r="37" spans="1:29" ht="13">
      <c r="A37" s="126" t="s">
        <v>27</v>
      </c>
      <c r="B37" s="109">
        <f>'Sch TOU-PA Cust Fcst'!B36*'Non-Residential TSM UC Adj'!J37</f>
        <v>0</v>
      </c>
      <c r="C37" s="23">
        <f>'Sch TOU-PA Cust Fcst'!B36*'Non-Residential TSM UC Adj'!K37</f>
        <v>0</v>
      </c>
      <c r="D37" s="23">
        <f>'Sch TOU-PA Cust Fcst'!B36*'Non-Residential TSM UC Adj'!L37</f>
        <v>0</v>
      </c>
      <c r="E37" s="41">
        <f>IF(SUM(B37:D37)=0,0,SUM(B37:D37)/'Sch TOU-PA Cust Fcst'!B36)</f>
        <v>0</v>
      </c>
      <c r="F37" s="109">
        <f>'Sch TOU-PA Cust Fcst'!C36*'Non-Residential TSM UC Adj'!J37</f>
        <v>0</v>
      </c>
      <c r="G37" s="23">
        <f>'Sch TOU-PA Cust Fcst'!C36*'Non-Residential TSM UC Adj'!K37</f>
        <v>0</v>
      </c>
      <c r="H37" s="23">
        <f>'Sch TOU-PA Cust Fcst'!C36*'Non-Residential TSM UC Adj'!L37</f>
        <v>0</v>
      </c>
      <c r="I37" s="41">
        <f>IF(SUM(F37:H37)=0,0,SUM(F37:H37)/'Sch TOU-PA Cust Fcst'!C36)</f>
        <v>0</v>
      </c>
      <c r="J37" s="109">
        <f>'Sch TOU-PA Cust Fcst'!D36*'Non-Residential TSM UC Adj'!J37</f>
        <v>0</v>
      </c>
      <c r="K37" s="23">
        <f>'Sch TOU-PA Cust Fcst'!D36*'Non-Residential TSM UC Adj'!K37</f>
        <v>0</v>
      </c>
      <c r="L37" s="23">
        <f>'Sch TOU-PA Cust Fcst'!D36*'Non-Residential TSM UC Adj'!L37</f>
        <v>0</v>
      </c>
      <c r="M37" s="41">
        <f>IF(SUM(J37:L37)=0,0,SUM(J37:L37)/'Sch TOU-PA Cust Fcst'!D36)</f>
        <v>0</v>
      </c>
      <c r="N37" s="109">
        <f>'Sch TOU-PA Cust Fcst'!E36*'Non-Residential TSM UC Adj'!N37</f>
        <v>0</v>
      </c>
      <c r="O37" s="23">
        <f>'Sch TOU-PA Cust Fcst'!E36*'Non-Residential TSM UC Adj'!O37</f>
        <v>0</v>
      </c>
      <c r="P37" s="23">
        <f>'Sch TOU-PA Cust Fcst'!E36*'Non-Residential TSM UC Adj'!P37</f>
        <v>0</v>
      </c>
      <c r="Q37" s="41">
        <f>IF(SUM(N37:P37)=0,0,SUM(N37:P37)/'Sch TOU-PA Cust Fcst'!E36)</f>
        <v>0</v>
      </c>
      <c r="R37" s="109">
        <f t="shared" si="0"/>
        <v>0</v>
      </c>
      <c r="S37" s="23">
        <f t="shared" si="0"/>
        <v>0</v>
      </c>
      <c r="T37" s="23">
        <f t="shared" si="0"/>
        <v>0</v>
      </c>
      <c r="U37" s="41">
        <f>IF(SUM(R37:T37)=0,0,SUM(R37:T37)/'Sch TOU-PA Cust Fcst'!F36)</f>
        <v>0</v>
      </c>
      <c r="V37" s="33">
        <f>'Sch TOU-PA Cust Fcst'!G36*'Non-Residential TSM UC Adj'!R37</f>
        <v>0</v>
      </c>
      <c r="W37" s="23">
        <f>'Sch TOU-PA Cust Fcst'!G36*'Non-Residential TSM UC Adj'!S37</f>
        <v>0</v>
      </c>
      <c r="X37" s="23">
        <f>'Sch TOU-PA Cust Fcst'!G36*'Non-Residential TSM UC Adj'!T37</f>
        <v>0</v>
      </c>
      <c r="Y37" s="41">
        <f>IF(SUM(V37:X37)=0,0,SUM(V37:X37)/'Sch TOU-PA Cust Fcst'!G36)</f>
        <v>0</v>
      </c>
      <c r="Z37" s="23">
        <f t="shared" si="1"/>
        <v>0</v>
      </c>
      <c r="AA37" s="23">
        <f t="shared" si="1"/>
        <v>0</v>
      </c>
      <c r="AB37" s="23">
        <f t="shared" si="1"/>
        <v>0</v>
      </c>
      <c r="AC37" s="41">
        <f>IF(SUM(Z37:AB37)=0,0,SUM(Z37:AB37)/'Sch TOU-PA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08" t="s">
        <v>126</v>
      </c>
      <c r="B39" s="225">
        <f>IF(SUM(B$7:B$37)=0,0,SUM(B$7:B$37)/'Sch TOU-PA Cust Fcst'!$B$38)</f>
        <v>0</v>
      </c>
      <c r="C39" s="224">
        <f>IF(SUM(C$7:C$37)=0,0,SUM(C$7:C$37)/'Sch TOU-PA Cust Fcst'!$B$38)</f>
        <v>0</v>
      </c>
      <c r="D39" s="224">
        <f>IF(SUM(D$7:D$37)=0,0,SUM(D$7:D$37)/'Sch TOU-PA Cust Fcst'!$B$38)</f>
        <v>0</v>
      </c>
      <c r="E39" s="224">
        <f>SUM(B39:D39)</f>
        <v>0</v>
      </c>
      <c r="F39" s="238">
        <f>IF(SUM(F$7:F$37)=0,0,SUM(F$7:F$37)/'Sch TOU-PA Cust Fcst'!$C$38)</f>
        <v>2016.8186560564311</v>
      </c>
      <c r="G39" s="239">
        <f>IF(SUM(G$7:G$37)=0,0,SUM(G$7:G$37)/'Sch TOU-PA Cust Fcst'!$C$38)</f>
        <v>718.29191911453245</v>
      </c>
      <c r="H39" s="239">
        <f>IF(SUM(H$7:H$37)=0,0,SUM(H$7:H$37)/'Sch TOU-PA Cust Fcst'!$C$38)</f>
        <v>301.76349896014176</v>
      </c>
      <c r="I39" s="239">
        <f>SUM(F39:H39)</f>
        <v>3036.8740741311058</v>
      </c>
      <c r="J39" s="238">
        <f>IF(SUM(J$7:J$37)=0,0,SUM(J$7:J$37)/'Sch TOU-PA Cust Fcst'!$D$38)</f>
        <v>0</v>
      </c>
      <c r="K39" s="239">
        <f>IF(SUM(K$7:K$37)=0,0,SUM(K$7:K$37)/'Sch TOU-PA Cust Fcst'!$D$38)</f>
        <v>0</v>
      </c>
      <c r="L39" s="239">
        <f>IF(SUM(L$7:L$37)=0,0,SUM(L$7:L$37)/'Sch TOU-PA Cust Fcst'!$D$38)</f>
        <v>0</v>
      </c>
      <c r="M39" s="239">
        <f>SUM(J39:L39)</f>
        <v>0</v>
      </c>
      <c r="N39" s="238">
        <f>IF(SUM(N$7:N$37)=0,0,SUM(N$7:N$37)/'Sch TOU-PA Cust Fcst'!$E$38)</f>
        <v>7709.599519778877</v>
      </c>
      <c r="O39" s="239">
        <f>IF(SUM(O$7:O$37)=0,0,SUM(O$7:O$37)/'Sch TOU-PA Cust Fcst'!$E$38)</f>
        <v>2245.6004705125683</v>
      </c>
      <c r="P39" s="239">
        <f>IF(SUM(P$7:P$37)=0,0,SUM(P$7:P$37)/'Sch TOU-PA Cust Fcst'!$E$38)</f>
        <v>583.71967462581802</v>
      </c>
      <c r="Q39" s="239">
        <f>SUM(N39:P39)</f>
        <v>10538.919664917263</v>
      </c>
      <c r="R39" s="238">
        <f>IF(SUM(R$7:R$37)=0,0,SUM(R$7:R$37)/'Sch TOU-PA Cust Fcst'!$F$38)</f>
        <v>5812.005898538061</v>
      </c>
      <c r="S39" s="239">
        <f>IF(SUM(S$7:S$37)=0,0,SUM(S$7:S$37)/'Sch TOU-PA Cust Fcst'!$F$38)</f>
        <v>1736.4976200465562</v>
      </c>
      <c r="T39" s="239">
        <f>IF(SUM(T$7:T$37)=0,0,SUM(T$7:T$37)/'Sch TOU-PA Cust Fcst'!$F$38)</f>
        <v>489.73428273725921</v>
      </c>
      <c r="U39" s="239">
        <f>SUM(R39:T39)</f>
        <v>8038.2378013218768</v>
      </c>
      <c r="V39" s="238">
        <f>IF(SUM(V$7:V$37)=0,0,SUM(V$7:V$37)/'Sch TOU-PA Cust Fcst'!$G$38)</f>
        <v>0</v>
      </c>
      <c r="W39" s="239">
        <f>IF(SUM(W$7:W$37)=0,0,SUM(W$7:W$37)/'Sch TOU-PA Cust Fcst'!$G$38)</f>
        <v>0</v>
      </c>
      <c r="X39" s="239">
        <f>IF(SUM(X$7:X$37)=0,0,SUM(X$7:X$37)/'Sch TOU-PA Cust Fcst'!$G$38)</f>
        <v>0</v>
      </c>
      <c r="Y39" s="239">
        <f>SUM(V39:X39)</f>
        <v>0</v>
      </c>
      <c r="Z39" s="238">
        <f>IF(SUM(Z$7:Z$37)=0,0,SUM(Z$7:Z$37)/'Sch TOU-PA Cust Fcst'!$H$38)</f>
        <v>5812.005898538061</v>
      </c>
      <c r="AA39" s="239">
        <f>IF(SUM(AA$7:AA$37)=0,0,SUM(AA$7:AA$37)/'Sch TOU-PA Cust Fcst'!$H$38)</f>
        <v>1736.4976200465562</v>
      </c>
      <c r="AB39" s="239">
        <f>IF(SUM(AB$7:AB$37)=0,0,SUM(AB$7:AB$37)/'Sch TOU-PA Cust Fcst'!$H$38)</f>
        <v>489.73428273725921</v>
      </c>
      <c r="AC39" s="240">
        <f>SUM(Z39:AB39)</f>
        <v>8038.2378013218768</v>
      </c>
    </row>
    <row r="40" spans="1:29" ht="13">
      <c r="A40" s="121" t="s">
        <v>127</v>
      </c>
      <c r="B40" s="225">
        <f>IF(SUM(B$7:B$10)=0,0,SUM(B$7:B$10)/'Sch TOU-PA Cust Fcst'!$B$39)</f>
        <v>0</v>
      </c>
      <c r="C40" s="224">
        <f>IF(SUM(C$7:C$10)=0,0,SUM(C$7:C$10)/'Sch TOU-PA Cust Fcst'!$B$39)</f>
        <v>0</v>
      </c>
      <c r="D40" s="224">
        <f>IF(SUM(D$7:D$10)=0,0,SUM(D$7:D$10)/'Sch TOU-PA Cust Fcst'!$B$39)</f>
        <v>0</v>
      </c>
      <c r="E40" s="224">
        <f>SUM(B40:D40)</f>
        <v>0</v>
      </c>
      <c r="F40" s="225">
        <f>IF(SUM(F$7:F$10)=0,0,SUM(F$7:F$10)/'Sch TOU-PA Cust Fcst'!$C$39)</f>
        <v>2016.8186560564311</v>
      </c>
      <c r="G40" s="224">
        <f>IF(SUM(G$7:G$10)=0,0,SUM(G$7:G$10)/'Sch TOU-PA Cust Fcst'!$C$39)</f>
        <v>718.29191911453245</v>
      </c>
      <c r="H40" s="224">
        <f>IF(SUM(H$7:H$10)=0,0,SUM(H$7:H$10)/'Sch TOU-PA Cust Fcst'!$C$39)</f>
        <v>301.76349896014176</v>
      </c>
      <c r="I40" s="224">
        <f>SUM(F40:H40)</f>
        <v>3036.8740741311058</v>
      </c>
      <c r="J40" s="225">
        <f>IF(SUM(J$7:J$10)=0,0,SUM(J$7:J$10)/'Sch TOU-PA Cust Fcst'!$D$39)</f>
        <v>0</v>
      </c>
      <c r="K40" s="224">
        <f>IF(SUM(K$7:K$10)=0,0,SUM(K$7:K$10)/'Sch TOU-PA Cust Fcst'!$D$39)</f>
        <v>0</v>
      </c>
      <c r="L40" s="224">
        <f>IF(SUM(L$7:L$10)=0,0,SUM(L$7:L$10)/'Sch TOU-PA Cust Fcst'!$D$39)</f>
        <v>0</v>
      </c>
      <c r="M40" s="224">
        <f>SUM(J40:L40)</f>
        <v>0</v>
      </c>
      <c r="N40" s="225">
        <f>IF(SUM(N$7:N$10)=0,0,SUM(N$7:N$10)/'Sch TOU-PA Cust Fcst'!$E$39)</f>
        <v>1250.7417533879686</v>
      </c>
      <c r="O40" s="224">
        <f>IF(SUM(O$7:O$10)=0,0,SUM(O$7:O$10)/'Sch TOU-PA Cust Fcst'!$E$39)</f>
        <v>609.82032510065369</v>
      </c>
      <c r="P40" s="224">
        <f>IF(SUM(P$7:P$10)=0,0,SUM(P$7:P$10)/'Sch TOU-PA Cust Fcst'!$E$39)</f>
        <v>301.76349896014176</v>
      </c>
      <c r="Q40" s="224">
        <f>SUM(N40:P40)</f>
        <v>2162.3255774487643</v>
      </c>
      <c r="R40" s="225">
        <f>IF(SUM(R$7:R$10)=0,0,SUM(R$7:R$10)/'Sch TOU-PA Cust Fcst'!$F$39)</f>
        <v>1633.7802047221999</v>
      </c>
      <c r="S40" s="224">
        <f>IF(SUM(S$7:S$10)=0,0,SUM(S$7:S$10)/'Sch TOU-PA Cust Fcst'!$F$39)</f>
        <v>664.05612210759307</v>
      </c>
      <c r="T40" s="224">
        <f>IF(SUM(T$7:T$10)=0,0,SUM(T$7:T$10)/'Sch TOU-PA Cust Fcst'!$F$39)</f>
        <v>301.76349896014176</v>
      </c>
      <c r="U40" s="224">
        <f>SUM(R40:T40)</f>
        <v>2599.5998257899346</v>
      </c>
      <c r="V40" s="225">
        <f>IF(SUM(V$7:V$10)=0,0,SUM(V$7:V$10)/'Sch TOU-PA Cust Fcst'!$G$39)</f>
        <v>0</v>
      </c>
      <c r="W40" s="224">
        <f>IF(SUM(W$7:W$10)=0,0,SUM(W$7:W$10)/'Sch TOU-PA Cust Fcst'!$G$39)</f>
        <v>0</v>
      </c>
      <c r="X40" s="224">
        <f>IF(SUM(X$7:X$10)=0,0,SUM(X$7:X$10)/'Sch TOU-PA Cust Fcst'!$G$39)</f>
        <v>0</v>
      </c>
      <c r="Y40" s="224">
        <f>SUM(V40:X40)</f>
        <v>0</v>
      </c>
      <c r="Z40" s="225">
        <f>IF(SUM(Z$7:Z$10)=0,0,SUM(Z$7:Z$10)/'Sch TOU-PA Cust Fcst'!$H$39)</f>
        <v>1633.7802047221999</v>
      </c>
      <c r="AA40" s="224">
        <f>IF(SUM(AA$7:AA$10)=0,0,SUM(AA$7:AA$10)/'Sch TOU-PA Cust Fcst'!$H$39)</f>
        <v>664.05612210759307</v>
      </c>
      <c r="AB40" s="224">
        <f>IF(SUM(AB$7:AB$10)=0,0,SUM(AB$7:AB$10)/'Sch TOU-PA Cust Fcst'!$H$39)</f>
        <v>301.76349896014176</v>
      </c>
      <c r="AC40" s="226">
        <f>SUM(Z40:AB40)</f>
        <v>2599.5998257899346</v>
      </c>
    </row>
    <row r="41" spans="1:29" ht="13.5" thickBot="1">
      <c r="A41" s="244" t="s">
        <v>207</v>
      </c>
      <c r="B41" s="177">
        <f>IF(SUM(B$11:B$37)=0,0,SUM(B$11:B$37)/'Sch TOU-PA Cust Fcst'!$B$40)</f>
        <v>0</v>
      </c>
      <c r="C41" s="173">
        <f>IF(SUM(C$11:C$37)=0,0,SUM(C$11:C$37)/'Sch TOU-PA Cust Fcst'!$B$40)</f>
        <v>0</v>
      </c>
      <c r="D41" s="173">
        <f>IF(SUM(D$11:D$37)=0,0,SUM(D$11:D$37)/'Sch TOU-PA Cust Fcst'!$B$40)</f>
        <v>0</v>
      </c>
      <c r="E41" s="173">
        <f>SUM(B41:D41)</f>
        <v>0</v>
      </c>
      <c r="F41" s="177">
        <f>IF(SUM(F$11:F$37)=0,0,SUM(F$11:F$37)/'Sch TOU-PA Cust Fcst'!$C$40)</f>
        <v>0</v>
      </c>
      <c r="G41" s="173">
        <f>IF(SUM(G$11:G$37)=0,0,SUM(G$11:G$37)/'Sch TOU-PA Cust Fcst'!$C$40)</f>
        <v>0</v>
      </c>
      <c r="H41" s="173">
        <f>IF(SUM(H$11:H$37)=0,0,SUM(H$11:H$37)/'Sch TOU-PA Cust Fcst'!$C$40)</f>
        <v>0</v>
      </c>
      <c r="I41" s="173">
        <f>SUM(F41:H41)</f>
        <v>0</v>
      </c>
      <c r="J41" s="177">
        <f>IF(SUM(J$11:J$37)=0,0,SUM(J$11:J$37)/'Sch TOU-PA Cust Fcst'!$D$40)</f>
        <v>0</v>
      </c>
      <c r="K41" s="173">
        <f>IF(SUM(K$11:K$37)=0,0,SUM(K$11:K$37)/'Sch TOU-PA Cust Fcst'!$D$40)</f>
        <v>0</v>
      </c>
      <c r="L41" s="173">
        <f>IF(SUM(L$11:L$37)=0,0,SUM(L$11:L$37)/'Sch TOU-PA Cust Fcst'!$D$40)</f>
        <v>0</v>
      </c>
      <c r="M41" s="173">
        <f>SUM(J41:L41)</f>
        <v>0</v>
      </c>
      <c r="N41" s="177">
        <f>IF(SUM(N$11:N$37)=0,0,SUM(N$11:N$37)/'Sch TOU-PA Cust Fcst'!$E$40)</f>
        <v>14168.457286169785</v>
      </c>
      <c r="O41" s="173">
        <f>IF(SUM(O$11:O$37)=0,0,SUM(O$11:O$37)/'Sch TOU-PA Cust Fcst'!$E$40)</f>
        <v>3881.3806159244828</v>
      </c>
      <c r="P41" s="173">
        <f>IF(SUM(P$11:P$37)=0,0,SUM(P$11:P$37)/'Sch TOU-PA Cust Fcst'!$E$40)</f>
        <v>865.67585029149416</v>
      </c>
      <c r="Q41" s="173">
        <f>SUM(N41:P41)</f>
        <v>18915.513752385759</v>
      </c>
      <c r="R41" s="177">
        <f>IF(SUM(R$11:R$37)=0,0,SUM(R$11:R$37)/'Sch TOU-PA Cust Fcst'!$F$40)</f>
        <v>14168.457286169785</v>
      </c>
      <c r="S41" s="173">
        <f>IF(SUM(S$11:S$37)=0,0,SUM(S$11:S$37)/'Sch TOU-PA Cust Fcst'!$F$40)</f>
        <v>3881.3806159244828</v>
      </c>
      <c r="T41" s="173">
        <f>IF(SUM(T$11:T$37)=0,0,SUM(T$11:T$37)/'Sch TOU-PA Cust Fcst'!$F$40)</f>
        <v>865.67585029149416</v>
      </c>
      <c r="U41" s="173">
        <f>SUM(R41:T41)</f>
        <v>18915.513752385759</v>
      </c>
      <c r="V41" s="177">
        <f>IF(SUM(V$11:V$37)=0,0,SUM(V$11:V$37)/'Sch TOU-PA Cust Fcst'!$G$40)</f>
        <v>0</v>
      </c>
      <c r="W41" s="173">
        <f>IF(SUM(W$11:W$37)=0,0,SUM(W$11:W$37)/'Sch TOU-PA Cust Fcst'!$G$40)</f>
        <v>0</v>
      </c>
      <c r="X41" s="173">
        <f>IF(SUM(X$11:X$37)=0,0,SUM(X$11:X$37)/'Sch TOU-PA Cust Fcst'!$G$40)</f>
        <v>0</v>
      </c>
      <c r="Y41" s="173">
        <f>SUM(V41:X41)</f>
        <v>0</v>
      </c>
      <c r="Z41" s="177">
        <f>IF(SUM(Z$11:Z$37)=0,0,SUM(Z$11:Z$37)/'Sch TOU-PA Cust Fcst'!$H$40)</f>
        <v>14168.457286169785</v>
      </c>
      <c r="AA41" s="173">
        <f>IF(SUM(AA$11:AA$37)=0,0,SUM(AA$11:AA$37)/'Sch TOU-PA Cust Fcst'!$H$40)</f>
        <v>3881.3806159244828</v>
      </c>
      <c r="AB41" s="173">
        <f>IF(SUM(AB$11:AB$37)=0,0,SUM(AB$11:AB$37)/'Sch TOU-PA Cust Fcst'!$H$40)</f>
        <v>865.67585029149416</v>
      </c>
      <c r="AC41" s="182">
        <f>SUM(Z41:AB41)</f>
        <v>18915.513752385759</v>
      </c>
    </row>
    <row r="42" spans="1:29">
      <c r="A42" t="s">
        <v>3</v>
      </c>
      <c r="E42" s="18"/>
      <c r="I42" s="18"/>
      <c r="M42" s="18"/>
      <c r="Q42" s="18"/>
      <c r="U42" s="18"/>
      <c r="Y42" s="18"/>
      <c r="AC42" s="18"/>
    </row>
    <row r="43" spans="1:29" ht="13">
      <c r="A43" s="261" t="s">
        <v>86</v>
      </c>
      <c r="B43" s="18"/>
      <c r="E43" s="277">
        <f>IF(SUM(B7:D37)=0,0,SUM(B7:D37)/'Sch TOU-PA Cust Fcst'!B38)-E39</f>
        <v>0</v>
      </c>
      <c r="F43" s="18"/>
      <c r="I43" s="277">
        <f>IF(SUM(F7:H37)=0,0,SUM(F7:H37)/'Sch TOU-PA Cust Fcst'!C38)-I39</f>
        <v>0</v>
      </c>
      <c r="J43" s="18"/>
      <c r="M43" s="277">
        <f>IF(SUM(J7:L37)=0,0,SUM(J7:L37)/'Sch TOU-PA Cust Fcst'!D38)-M39</f>
        <v>0</v>
      </c>
      <c r="N43" s="18"/>
      <c r="Q43" s="277">
        <f>IF(SUM(N7:P37)=0,0,SUM(N7:P37)/'Sch TOU-PA Cust Fcst'!E38)-Q39</f>
        <v>0</v>
      </c>
      <c r="R43" s="18"/>
      <c r="U43" s="277">
        <f>IF(SUM(R7:T37)=0,0,SUM(R7:T37)/'Sch TOU-PA Cust Fcst'!F38)-U39</f>
        <v>0</v>
      </c>
      <c r="V43" s="18"/>
      <c r="Y43" s="277">
        <f>IF(SUM(V7:X37)=0,0,SUM(V7:X37)/'Sch TOU-PA Cust Fcst'!G38)-Y39</f>
        <v>0</v>
      </c>
      <c r="Z43" s="18"/>
      <c r="AC43" s="277">
        <f>IF(SUM(Z7:AB37)=0,0,SUM(Z7:AB37)/'Sch TOU-PA Cust Fcst'!H38)-AC39</f>
        <v>0</v>
      </c>
    </row>
    <row r="44" spans="1:29">
      <c r="B44" s="18"/>
      <c r="E44" s="277">
        <f>IF(SUM(B7:D10)=0,0,SUM(B7:D10)/'Sch TOU-PA Cust Fcst'!B39)-E40</f>
        <v>0</v>
      </c>
      <c r="F44" s="18"/>
      <c r="I44" s="277">
        <f>IF(SUM(F7:H10)=0,0,SUM(F7:H10)/'Sch TOU-PA Cust Fcst'!C39)-I40</f>
        <v>0</v>
      </c>
      <c r="J44" s="18"/>
      <c r="M44" s="277">
        <f>IF(SUM(J7:L10)=0,0,SUM(J7:L10)/'Sch TOU-PA Cust Fcst'!D39)-M40</f>
        <v>0</v>
      </c>
      <c r="N44" s="18"/>
      <c r="Q44" s="277">
        <f>IF(SUM(N7:P10)=0,0,SUM(N7:P10)/'Sch TOU-PA Cust Fcst'!E39)-Q40</f>
        <v>0</v>
      </c>
      <c r="R44" s="18"/>
      <c r="U44" s="277">
        <f>IF(SUM(R7:T10)=0,0,SUM(R7:T10)/'Sch TOU-PA Cust Fcst'!F39)-U40</f>
        <v>0</v>
      </c>
      <c r="V44" s="18"/>
      <c r="Y44" s="488">
        <f>IF(SUM(V7:X10)=0,0,SUM(V7:X10)/'Sch TOU-PA Cust Fcst'!G39)-Y40</f>
        <v>0</v>
      </c>
      <c r="Z44" s="18"/>
      <c r="AC44" s="277">
        <f>IF(SUM(Z7:AB10)=0,0,SUM(Z7:AB10)/'Sch TOU-PA Cust Fcst'!H39)-AC40</f>
        <v>0</v>
      </c>
    </row>
    <row r="45" spans="1:29">
      <c r="E45" s="277">
        <f>IF(SUM(B11:D37)=0,0,SUM(B11:D37)/'Sch TOU-PA Cust Fcst'!B40)-E41</f>
        <v>0</v>
      </c>
      <c r="I45" s="277">
        <f>IF(SUM(F11:H37)=0,0,SUM(F11:H37)/'Sch TOU-PA Cust Fcst'!C40)-I41</f>
        <v>0</v>
      </c>
      <c r="M45" s="277">
        <f>IF(SUM(J11:L37)=0,0,SUM(J11:L37)/'Sch TOU-PA Cust Fcst'!D40)-M41</f>
        <v>0</v>
      </c>
      <c r="Q45" s="277">
        <f>IF(SUM(N11:P37)=0,0,SUM(N11:P37)/'Sch TOU-PA Cust Fcst'!E40)-Q41</f>
        <v>0</v>
      </c>
      <c r="U45" s="277">
        <f>IF(SUM(R11:T37)=0,0,SUM(R11:T37)/'Sch TOU-PA Cust Fcst'!F40)-U41</f>
        <v>0</v>
      </c>
      <c r="Y45" s="277">
        <f>IF(SUM(V11:X37)=0,0,SUM(V11:X37)/'Sch TOU-PA Cust Fcst'!G40)-Y41</f>
        <v>0</v>
      </c>
      <c r="AC45" s="277">
        <f>IF(SUM(Z11:AB37)=0,0,SUM(Z11:AB37)/'Sch TOU-PA Cust Fcst'!H40)-AC41</f>
        <v>0</v>
      </c>
    </row>
    <row r="50" spans="1:1">
      <c r="A50" s="19"/>
    </row>
    <row r="62" spans="1:1">
      <c r="A62" s="19"/>
    </row>
  </sheetData>
  <mergeCells count="11">
    <mergeCell ref="Z3:AC3"/>
    <mergeCell ref="A1:Y1"/>
    <mergeCell ref="B2:U2"/>
    <mergeCell ref="V2:Y2"/>
    <mergeCell ref="Z2:AC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82">
    <tabColor rgb="FF0070C0"/>
    <pageSetUpPr fitToPage="1"/>
  </sheetPr>
  <dimension ref="A1:J56"/>
  <sheetViews>
    <sheetView topLeftCell="A14" zoomScaleNormal="100" workbookViewId="0">
      <selection activeCell="B31" sqref="B31:J31"/>
    </sheetView>
  </sheetViews>
  <sheetFormatPr defaultRowHeight="12.5"/>
  <cols>
    <col min="1" max="1" width="40.81640625" customWidth="1"/>
    <col min="2" max="2" width="10.26953125" customWidth="1"/>
    <col min="3" max="4" width="10.26953125" style="12" customWidth="1"/>
    <col min="5" max="5" width="10.81640625" style="12" customWidth="1"/>
    <col min="6" max="6" width="9.26953125" style="12" customWidth="1"/>
    <col min="7" max="7" width="10.26953125" style="12" customWidth="1"/>
    <col min="8" max="10" width="10.26953125" customWidth="1"/>
  </cols>
  <sheetData>
    <row r="1" spans="1:10" ht="18.5" thickBot="1">
      <c r="A1" s="735" t="s">
        <v>291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342"/>
      <c r="B2" s="736" t="s">
        <v>0</v>
      </c>
      <c r="C2" s="737"/>
      <c r="D2" s="738"/>
      <c r="E2" s="737" t="s">
        <v>1</v>
      </c>
      <c r="F2" s="737"/>
      <c r="G2" s="738"/>
      <c r="H2" s="737" t="s">
        <v>292</v>
      </c>
      <c r="I2" s="737"/>
      <c r="J2" s="738"/>
    </row>
    <row r="3" spans="1:10" ht="13.5" thickBot="1">
      <c r="A3" s="480" t="s">
        <v>47</v>
      </c>
      <c r="B3" s="474" t="s">
        <v>185</v>
      </c>
      <c r="C3" s="475" t="s">
        <v>133</v>
      </c>
      <c r="D3" s="476" t="s">
        <v>128</v>
      </c>
      <c r="E3" s="475" t="s">
        <v>185</v>
      </c>
      <c r="F3" s="475" t="s">
        <v>133</v>
      </c>
      <c r="G3" s="476" t="s">
        <v>129</v>
      </c>
      <c r="H3" s="475" t="s">
        <v>185</v>
      </c>
      <c r="I3" s="475" t="s">
        <v>133</v>
      </c>
      <c r="J3" s="476" t="s">
        <v>2</v>
      </c>
    </row>
    <row r="4" spans="1:10" ht="13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 ht="13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 ht="13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 ht="13">
      <c r="A8" s="36" t="s">
        <v>53</v>
      </c>
      <c r="B8" s="115">
        <f>'Sch TOU-PA TSM'!R40</f>
        <v>1633.7802047221999</v>
      </c>
      <c r="C8" s="134">
        <f>'Sch TOU-PA TSM'!R41</f>
        <v>14168.457286169785</v>
      </c>
      <c r="D8" s="40">
        <f>'Sch TOU-PA TSM'!R39</f>
        <v>5812.005898538061</v>
      </c>
      <c r="E8" s="115"/>
      <c r="F8" s="134"/>
      <c r="G8" s="44"/>
      <c r="H8" s="115">
        <f>'Sch TOU-PA TSM'!Z40</f>
        <v>1633.7802047221999</v>
      </c>
      <c r="I8" s="134">
        <f>'Sch TOU-PA TSM'!Z41</f>
        <v>14168.457286169785</v>
      </c>
      <c r="J8" s="44">
        <f>'Sch TOU-PA TSM'!Z39</f>
        <v>5812.005898538061</v>
      </c>
    </row>
    <row r="9" spans="1:10" ht="13">
      <c r="A9" s="36" t="s">
        <v>51</v>
      </c>
      <c r="B9" s="115">
        <f>'Sch TOU-PA TSM'!S40</f>
        <v>664.05612210759307</v>
      </c>
      <c r="C9" s="134">
        <f>'Sch TOU-PA TSM'!S41</f>
        <v>3881.3806159244828</v>
      </c>
      <c r="D9" s="40">
        <f>'Sch TOU-PA TSM'!S39</f>
        <v>1736.4976200465562</v>
      </c>
      <c r="E9" s="115"/>
      <c r="F9" s="134"/>
      <c r="G9" s="44"/>
      <c r="H9" s="115">
        <f>'Sch TOU-PA TSM'!AA40</f>
        <v>664.05612210759307</v>
      </c>
      <c r="I9" s="134">
        <f>'Sch TOU-PA TSM'!AA41</f>
        <v>3881.3806159244828</v>
      </c>
      <c r="J9" s="44">
        <f>'Sch TOU-PA TSM'!AA39</f>
        <v>1736.4976200465562</v>
      </c>
    </row>
    <row r="10" spans="1:10" ht="13">
      <c r="A10" s="36" t="s">
        <v>52</v>
      </c>
      <c r="B10" s="115">
        <f>'Sch TOU-PA TSM'!T40</f>
        <v>301.76349896014176</v>
      </c>
      <c r="C10" s="134">
        <f>'Sch TOU-PA TSM'!T41</f>
        <v>865.67585029149416</v>
      </c>
      <c r="D10" s="40">
        <f>'Sch TOU-PA TSM'!T39</f>
        <v>489.73428273725921</v>
      </c>
      <c r="E10" s="115"/>
      <c r="F10" s="134"/>
      <c r="G10" s="44"/>
      <c r="H10" s="115">
        <f>'Sch TOU-PA TSM'!AB40</f>
        <v>301.76349896014176</v>
      </c>
      <c r="I10" s="134">
        <f>'Sch TOU-PA TSM'!AB41</f>
        <v>865.67585029149416</v>
      </c>
      <c r="J10" s="44">
        <f>'Sch TOU-PA TSM'!AB39</f>
        <v>489.73428273725921</v>
      </c>
    </row>
    <row r="11" spans="1:10" ht="13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 ht="13">
      <c r="A12" s="36" t="s">
        <v>35</v>
      </c>
      <c r="B12" s="114">
        <f t="shared" ref="B12:J12" si="0">SUM(B8:B10)</f>
        <v>2599.5998257899346</v>
      </c>
      <c r="C12" s="30">
        <f t="shared" si="0"/>
        <v>18915.513752385759</v>
      </c>
      <c r="D12" s="40">
        <f t="shared" si="0"/>
        <v>8038.2378013218768</v>
      </c>
      <c r="E12" s="114"/>
      <c r="F12" s="30"/>
      <c r="G12" s="40"/>
      <c r="H12" s="114">
        <f t="shared" si="0"/>
        <v>2599.5998257899346</v>
      </c>
      <c r="I12" s="30">
        <f t="shared" si="0"/>
        <v>18915.513752385759</v>
      </c>
      <c r="J12" s="40">
        <f t="shared" si="0"/>
        <v>8038.2378013218768</v>
      </c>
    </row>
    <row r="13" spans="1:10" ht="13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 ht="13">
      <c r="A15" s="47">
        <f>Inputs!C3</f>
        <v>2.9094935671404847E-2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 ht="13">
      <c r="A17" s="47">
        <f>Inputs!C4</f>
        <v>1.99475E-2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 ht="13">
      <c r="A18" s="94" t="s">
        <v>92</v>
      </c>
      <c r="B18" s="114">
        <f t="shared" ref="B18:J20" si="1">(B8*(1+$A$15)*(1+$A$17))</f>
        <v>1714.8529643393322</v>
      </c>
      <c r="C18" s="30">
        <f t="shared" si="1"/>
        <v>14871.535906162348</v>
      </c>
      <c r="D18" s="40">
        <f t="shared" si="1"/>
        <v>6100.413944947004</v>
      </c>
      <c r="E18" s="114"/>
      <c r="F18" s="30"/>
      <c r="G18" s="40"/>
      <c r="H18" s="114">
        <f t="shared" si="1"/>
        <v>1714.8529643393322</v>
      </c>
      <c r="I18" s="30">
        <f t="shared" si="1"/>
        <v>14871.535906162348</v>
      </c>
      <c r="J18" s="40">
        <f t="shared" si="1"/>
        <v>6100.413944947004</v>
      </c>
    </row>
    <row r="19" spans="1:10" ht="13">
      <c r="A19" s="94" t="s">
        <v>51</v>
      </c>
      <c r="B19" s="114">
        <f t="shared" si="1"/>
        <v>697.00845082617252</v>
      </c>
      <c r="C19" s="30">
        <f t="shared" si="1"/>
        <v>4073.9856167366629</v>
      </c>
      <c r="D19" s="40">
        <f t="shared" si="1"/>
        <v>1822.6675061296692</v>
      </c>
      <c r="E19" s="114"/>
      <c r="F19" s="30"/>
      <c r="G19" s="40"/>
      <c r="H19" s="114">
        <f t="shared" si="1"/>
        <v>697.00845082617252</v>
      </c>
      <c r="I19" s="30">
        <f t="shared" si="1"/>
        <v>4073.9856167366629</v>
      </c>
      <c r="J19" s="40">
        <f t="shared" si="1"/>
        <v>1822.6675061296692</v>
      </c>
    </row>
    <row r="20" spans="1:10" ht="13">
      <c r="A20" s="94" t="s">
        <v>52</v>
      </c>
      <c r="B20" s="114">
        <f t="shared" si="1"/>
        <v>316.73785079872351</v>
      </c>
      <c r="C20" s="30">
        <f t="shared" si="1"/>
        <v>908.63311584911696</v>
      </c>
      <c r="D20" s="40">
        <f t="shared" si="1"/>
        <v>514.036272482188</v>
      </c>
      <c r="E20" s="114"/>
      <c r="F20" s="30"/>
      <c r="G20" s="40"/>
      <c r="H20" s="114">
        <f t="shared" si="1"/>
        <v>316.73785079872351</v>
      </c>
      <c r="I20" s="30">
        <f t="shared" si="1"/>
        <v>908.63311584911696</v>
      </c>
      <c r="J20" s="40">
        <f t="shared" si="1"/>
        <v>514.036272482188</v>
      </c>
    </row>
    <row r="21" spans="1:10" ht="13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 ht="13">
      <c r="A22" s="36" t="s">
        <v>35</v>
      </c>
      <c r="B22" s="119">
        <f t="shared" ref="B22:J22" si="2">B18+B19+B20</f>
        <v>2728.5992659642284</v>
      </c>
      <c r="C22" s="73">
        <f t="shared" si="2"/>
        <v>19854.154638748125</v>
      </c>
      <c r="D22" s="75">
        <f t="shared" si="2"/>
        <v>8437.1177235588621</v>
      </c>
      <c r="E22" s="119"/>
      <c r="F22" s="73"/>
      <c r="G22" s="75"/>
      <c r="H22" s="119">
        <f t="shared" si="2"/>
        <v>2728.5992659642284</v>
      </c>
      <c r="I22" s="73">
        <f t="shared" si="2"/>
        <v>19854.154638748125</v>
      </c>
      <c r="J22" s="75">
        <f t="shared" si="2"/>
        <v>8437.1177235588621</v>
      </c>
    </row>
    <row r="23" spans="1:10" ht="13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 ht="13">
      <c r="A24" s="94" t="str">
        <f>'Resid TSM Sum by Rate Schedule'!A25</f>
        <v>Annualized Transformer Cost at 8.05%</v>
      </c>
      <c r="B24" s="119">
        <f>B18*Inputs!$C$5</f>
        <v>138.00907301168803</v>
      </c>
      <c r="C24" s="73">
        <f>C18*Inputs!$C$5</f>
        <v>1196.8413195473083</v>
      </c>
      <c r="D24" s="75">
        <f>D18*Inputs!$C$5</f>
        <v>490.95315519022813</v>
      </c>
      <c r="E24" s="119"/>
      <c r="F24" s="73"/>
      <c r="G24" s="75"/>
      <c r="H24" s="119">
        <f>H18*Inputs!$C$5</f>
        <v>138.00907301168803</v>
      </c>
      <c r="I24" s="73">
        <f>I18*Inputs!$C$5</f>
        <v>1196.8413195473083</v>
      </c>
      <c r="J24" s="75">
        <f>J18*Inputs!$C$5</f>
        <v>490.95315519022813</v>
      </c>
    </row>
    <row r="25" spans="1:10" ht="13">
      <c r="A25" s="94" t="str">
        <f>'Resid TSM Sum by Rate Schedule'!A26</f>
        <v>Annualized Services Cost at 7.08%</v>
      </c>
      <c r="B25" s="119">
        <f>B19*Inputs!$C$6</f>
        <v>49.330814887117981</v>
      </c>
      <c r="C25" s="73">
        <f>C19*Inputs!$C$6</f>
        <v>288.33657622630216</v>
      </c>
      <c r="D25" s="75">
        <f>D19*Inputs!$C$6</f>
        <v>128.99940200017937</v>
      </c>
      <c r="E25" s="119"/>
      <c r="F25" s="73"/>
      <c r="G25" s="75"/>
      <c r="H25" s="119">
        <f>H19*Inputs!$C$6</f>
        <v>49.330814887117981</v>
      </c>
      <c r="I25" s="73">
        <f>I19*Inputs!$C$6</f>
        <v>288.33657622630216</v>
      </c>
      <c r="J25" s="75">
        <f>J19*Inputs!$C$6</f>
        <v>128.99940200017937</v>
      </c>
    </row>
    <row r="26" spans="1:10" ht="16">
      <c r="A26" s="94" t="str">
        <f>'Resid TSM Sum by Rate Schedule'!A27</f>
        <v>Annualized Meter Cost at 10.78%</v>
      </c>
      <c r="B26" s="459">
        <f>B20*Inputs!$C$7</f>
        <v>34.133713554216776</v>
      </c>
      <c r="C26" s="458">
        <f>C20*Inputs!$C$7</f>
        <v>97.920164653697341</v>
      </c>
      <c r="D26" s="457">
        <f>D20*Inputs!$C$7</f>
        <v>55.395863920710298</v>
      </c>
      <c r="E26" s="459"/>
      <c r="F26" s="458"/>
      <c r="G26" s="457"/>
      <c r="H26" s="459">
        <f>H20*Inputs!$C$7</f>
        <v>34.133713554216776</v>
      </c>
      <c r="I26" s="458">
        <f>I20*Inputs!$C$7</f>
        <v>97.920164653697341</v>
      </c>
      <c r="J26" s="457">
        <f>J20*Inputs!$C$7</f>
        <v>55.395863920710298</v>
      </c>
    </row>
    <row r="27" spans="1:10" ht="13">
      <c r="A27" s="86" t="s">
        <v>275</v>
      </c>
      <c r="B27" s="119">
        <f>SUM(B24:B26)</f>
        <v>221.47360145302278</v>
      </c>
      <c r="C27" s="73">
        <f t="shared" ref="C27:J27" si="3">SUM(C24:C26)</f>
        <v>1583.0980604273079</v>
      </c>
      <c r="D27" s="75">
        <f t="shared" si="3"/>
        <v>675.34842111111789</v>
      </c>
      <c r="E27" s="119"/>
      <c r="F27" s="73"/>
      <c r="G27" s="75"/>
      <c r="H27" s="119">
        <f t="shared" si="3"/>
        <v>221.47360145302278</v>
      </c>
      <c r="I27" s="73">
        <f t="shared" si="3"/>
        <v>1583.0980604273079</v>
      </c>
      <c r="J27" s="75">
        <f t="shared" si="3"/>
        <v>675.34842111111789</v>
      </c>
    </row>
    <row r="28" spans="1:10" ht="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 ht="13">
      <c r="A29" s="36" t="s">
        <v>50</v>
      </c>
      <c r="B29" s="119">
        <f>'Distribution O&amp;M Allocations'!$AD$20</f>
        <v>87.29810469482328</v>
      </c>
      <c r="C29" s="73">
        <f>'Distribution O&amp;M Allocations'!$AD$20</f>
        <v>87.29810469482328</v>
      </c>
      <c r="D29" s="73">
        <f>'Distribution O&amp;M Allocations'!$AD$20</f>
        <v>87.29810469482328</v>
      </c>
      <c r="E29" s="119"/>
      <c r="F29" s="73"/>
      <c r="G29" s="75"/>
      <c r="H29" s="119">
        <f>B29</f>
        <v>87.29810469482328</v>
      </c>
      <c r="I29" s="73">
        <f t="shared" ref="I29:J29" si="4">C29</f>
        <v>87.29810469482328</v>
      </c>
      <c r="J29" s="75">
        <f t="shared" si="4"/>
        <v>87.29810469482328</v>
      </c>
    </row>
    <row r="30" spans="1:10" ht="13">
      <c r="A30" s="11"/>
      <c r="B30" s="10"/>
      <c r="C30" s="27"/>
      <c r="D30" s="81"/>
      <c r="E30" s="10"/>
      <c r="F30" s="27"/>
      <c r="G30" s="81"/>
      <c r="H30" s="119"/>
      <c r="I30" s="73"/>
      <c r="J30" s="75"/>
    </row>
    <row r="31" spans="1:10" ht="13">
      <c r="A31" s="36" t="s">
        <v>57</v>
      </c>
      <c r="B31" s="717">
        <v>148.85601320389145</v>
      </c>
      <c r="C31" s="718">
        <v>148.85601320389145</v>
      </c>
      <c r="D31" s="718">
        <v>148.85601320389145</v>
      </c>
      <c r="E31" s="717"/>
      <c r="F31" s="718"/>
      <c r="G31" s="720"/>
      <c r="H31" s="721">
        <v>148.85601320389145</v>
      </c>
      <c r="I31" s="722">
        <v>148.85601320389145</v>
      </c>
      <c r="J31" s="404">
        <v>148.85601320389145</v>
      </c>
    </row>
    <row r="32" spans="1:10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78" t="s">
        <v>126</v>
      </c>
      <c r="B33" s="279">
        <f t="shared" ref="B33:J33" si="5">B27+B29+B31</f>
        <v>457.62771935173754</v>
      </c>
      <c r="C33" s="280">
        <f t="shared" si="5"/>
        <v>1819.2521783260227</v>
      </c>
      <c r="D33" s="291">
        <f t="shared" si="5"/>
        <v>911.50253900983262</v>
      </c>
      <c r="E33" s="280"/>
      <c r="F33" s="280"/>
      <c r="G33" s="280"/>
      <c r="H33" s="279">
        <f t="shared" si="5"/>
        <v>457.62771935173754</v>
      </c>
      <c r="I33" s="280">
        <f t="shared" si="5"/>
        <v>1819.2521783260227</v>
      </c>
      <c r="J33" s="291">
        <f t="shared" si="5"/>
        <v>911.50253900983262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83">
    <tabColor rgb="FF0070C0"/>
    <pageSetUpPr fitToPage="1"/>
  </sheetPr>
  <dimension ref="A1:J58"/>
  <sheetViews>
    <sheetView topLeftCell="A15" zoomScaleNormal="100" workbookViewId="0">
      <selection activeCell="B33" sqref="B33"/>
    </sheetView>
  </sheetViews>
  <sheetFormatPr defaultRowHeight="12.5"/>
  <cols>
    <col min="1" max="1" width="40.7265625" customWidth="1"/>
    <col min="2" max="2" width="10.26953125" customWidth="1"/>
    <col min="3" max="4" width="10.26953125" style="12" customWidth="1"/>
    <col min="5" max="6" width="9.26953125" style="12" customWidth="1"/>
    <col min="7" max="7" width="10.26953125" style="12" customWidth="1"/>
    <col min="8" max="10" width="10.26953125" customWidth="1"/>
  </cols>
  <sheetData>
    <row r="1" spans="1:10" ht="18.5" thickBot="1">
      <c r="A1" s="735" t="s">
        <v>293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342"/>
      <c r="B2" s="736" t="s">
        <v>0</v>
      </c>
      <c r="C2" s="737"/>
      <c r="D2" s="738"/>
      <c r="E2" s="737" t="s">
        <v>1</v>
      </c>
      <c r="F2" s="737"/>
      <c r="G2" s="738"/>
      <c r="H2" s="737" t="s">
        <v>292</v>
      </c>
      <c r="I2" s="737"/>
      <c r="J2" s="738"/>
    </row>
    <row r="3" spans="1:10" ht="13.5" thickBot="1">
      <c r="A3" s="480" t="s">
        <v>47</v>
      </c>
      <c r="B3" s="474" t="s">
        <v>185</v>
      </c>
      <c r="C3" s="475" t="s">
        <v>133</v>
      </c>
      <c r="D3" s="476" t="s">
        <v>128</v>
      </c>
      <c r="E3" s="475" t="s">
        <v>185</v>
      </c>
      <c r="F3" s="475" t="s">
        <v>133</v>
      </c>
      <c r="G3" s="476" t="s">
        <v>129</v>
      </c>
      <c r="H3" s="475" t="s">
        <v>185</v>
      </c>
      <c r="I3" s="475" t="s">
        <v>133</v>
      </c>
      <c r="J3" s="476" t="s">
        <v>2</v>
      </c>
    </row>
    <row r="4" spans="1:10" ht="13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 ht="13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 ht="13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 ht="13">
      <c r="A8" s="36" t="s">
        <v>53</v>
      </c>
      <c r="B8" s="115">
        <f>'Sch TOU-PA TSM Summary'!B8*Inputs!$C$12</f>
        <v>1772.8868910248852</v>
      </c>
      <c r="C8" s="134">
        <f>'Sch TOU-PA TSM Summary'!C8*Inputs!$C$12</f>
        <v>15374.817320036975</v>
      </c>
      <c r="D8" s="44">
        <f>'Sch TOU-PA TSM Summary'!D8*Inputs!$C$12</f>
        <v>6306.8637006955814</v>
      </c>
      <c r="E8" s="134"/>
      <c r="F8" s="134"/>
      <c r="G8" s="134"/>
      <c r="H8" s="115">
        <f>'Sch TOU-PA TSM Summary'!H8*Inputs!$C$12</f>
        <v>1772.8868910248852</v>
      </c>
      <c r="I8" s="134">
        <f>'Sch TOU-PA TSM Summary'!I8*Inputs!$C$12</f>
        <v>15374.817320036975</v>
      </c>
      <c r="J8" s="44">
        <f>'Sch TOU-PA TSM Summary'!J8*Inputs!$C$12</f>
        <v>6306.8637006955814</v>
      </c>
    </row>
    <row r="9" spans="1:10" ht="13">
      <c r="A9" s="36" t="s">
        <v>51</v>
      </c>
      <c r="B9" s="115">
        <f>'Sch TOU-PA TSM Summary'!B9*Inputs!$C$12</f>
        <v>720.5965590638026</v>
      </c>
      <c r="C9" s="134">
        <f>'Sch TOU-PA TSM Summary'!C9*Inputs!$C$12</f>
        <v>4211.8571354710866</v>
      </c>
      <c r="D9" s="44">
        <f>'Sch TOU-PA TSM Summary'!D9*Inputs!$C$12</f>
        <v>1884.3500845328972</v>
      </c>
      <c r="E9" s="134"/>
      <c r="F9" s="134"/>
      <c r="G9" s="134"/>
      <c r="H9" s="115">
        <f>'Sch TOU-PA TSM Summary'!H9*Inputs!$C$12</f>
        <v>720.5965590638026</v>
      </c>
      <c r="I9" s="134">
        <f>'Sch TOU-PA TSM Summary'!I9*Inputs!$C$12</f>
        <v>4211.8571354710866</v>
      </c>
      <c r="J9" s="44">
        <f>'Sch TOU-PA TSM Summary'!J9*Inputs!$C$12</f>
        <v>1884.3500845328972</v>
      </c>
    </row>
    <row r="10" spans="1:10" ht="13">
      <c r="A10" s="36" t="s">
        <v>52</v>
      </c>
      <c r="B10" s="115">
        <f>'Sch TOU-PA TSM Summary'!B10*Inputs!$C$12</f>
        <v>327.45686962659977</v>
      </c>
      <c r="C10" s="134">
        <f>'Sch TOU-PA TSM Summary'!C10*Inputs!$C$12</f>
        <v>939.38301028660817</v>
      </c>
      <c r="D10" s="44">
        <f>'Sch TOU-PA TSM Summary'!D10*Inputs!$C$12</f>
        <v>531.43224984660253</v>
      </c>
      <c r="E10" s="134"/>
      <c r="F10" s="134"/>
      <c r="G10" s="134"/>
      <c r="H10" s="115">
        <f>'Sch TOU-PA TSM Summary'!H10*Inputs!$C$12</f>
        <v>327.45686962659977</v>
      </c>
      <c r="I10" s="134">
        <f>'Sch TOU-PA TSM Summary'!I10*Inputs!$C$12</f>
        <v>939.38301028660817</v>
      </c>
      <c r="J10" s="44">
        <f>'Sch TOU-PA TSM Summary'!J10*Inputs!$C$12</f>
        <v>531.43224984660253</v>
      </c>
    </row>
    <row r="11" spans="1:10" ht="13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 ht="13">
      <c r="A12" s="36" t="s">
        <v>35</v>
      </c>
      <c r="B12" s="114">
        <f t="shared" ref="B12:J12" si="0">SUM(B8:B10)</f>
        <v>2820.9403197152874</v>
      </c>
      <c r="C12" s="30">
        <f t="shared" si="0"/>
        <v>20526.057465794671</v>
      </c>
      <c r="D12" s="40">
        <f t="shared" si="0"/>
        <v>8722.6460350750804</v>
      </c>
      <c r="E12" s="30"/>
      <c r="F12" s="30"/>
      <c r="G12" s="30"/>
      <c r="H12" s="114">
        <f t="shared" si="0"/>
        <v>2820.9403197152874</v>
      </c>
      <c r="I12" s="30">
        <f t="shared" si="0"/>
        <v>20526.057465794671</v>
      </c>
      <c r="J12" s="40">
        <f t="shared" si="0"/>
        <v>8722.6460350750804</v>
      </c>
    </row>
    <row r="13" spans="1:10" ht="13">
      <c r="A13" s="38"/>
      <c r="B13" s="114"/>
      <c r="C13" s="30"/>
      <c r="D13" s="40"/>
      <c r="E13" s="30"/>
      <c r="F13" s="30"/>
      <c r="G13" s="3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30"/>
      <c r="F14" s="30"/>
      <c r="G14" s="30"/>
      <c r="H14" s="114"/>
      <c r="I14" s="30"/>
      <c r="J14" s="40"/>
    </row>
    <row r="15" spans="1:10" ht="13">
      <c r="A15" s="47">
        <f>Inputs!C3</f>
        <v>2.9094935671404847E-2</v>
      </c>
      <c r="B15" s="114"/>
      <c r="C15" s="30"/>
      <c r="D15" s="40"/>
      <c r="E15" s="30"/>
      <c r="F15" s="30"/>
      <c r="G15" s="3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30"/>
      <c r="F16" s="30"/>
      <c r="G16" s="30"/>
      <c r="H16" s="114"/>
      <c r="I16" s="30"/>
      <c r="J16" s="40"/>
    </row>
    <row r="17" spans="1:10" ht="13">
      <c r="A17" s="47">
        <f>Inputs!C4</f>
        <v>1.99475E-2</v>
      </c>
      <c r="B17" s="114"/>
      <c r="C17" s="30"/>
      <c r="D17" s="40"/>
      <c r="E17" s="30"/>
      <c r="F17" s="30"/>
      <c r="G17" s="30"/>
      <c r="H17" s="114"/>
      <c r="I17" s="30"/>
      <c r="J17" s="40"/>
    </row>
    <row r="18" spans="1:10" ht="13">
      <c r="A18" s="94" t="s">
        <v>92</v>
      </c>
      <c r="B18" s="114">
        <f t="shared" ref="B18:J20" si="1">(B8*(1+$A$15)*(1+$A$17))</f>
        <v>1860.8625148750136</v>
      </c>
      <c r="C18" s="30">
        <f t="shared" si="1"/>
        <v>16137.758911042863</v>
      </c>
      <c r="D18" s="30">
        <f t="shared" si="1"/>
        <v>6619.8279802642955</v>
      </c>
      <c r="E18" s="114"/>
      <c r="F18" s="30"/>
      <c r="G18" s="40"/>
      <c r="H18" s="114">
        <f t="shared" si="1"/>
        <v>1860.8625148750136</v>
      </c>
      <c r="I18" s="30">
        <f t="shared" si="1"/>
        <v>16137.758911042863</v>
      </c>
      <c r="J18" s="40">
        <f t="shared" si="1"/>
        <v>6619.8279802642955</v>
      </c>
    </row>
    <row r="19" spans="1:10" ht="13">
      <c r="A19" s="94" t="s">
        <v>51</v>
      </c>
      <c r="B19" s="114">
        <f t="shared" si="1"/>
        <v>756.35458296754177</v>
      </c>
      <c r="C19" s="30">
        <f t="shared" si="1"/>
        <v>4420.8613087979465</v>
      </c>
      <c r="D19" s="30">
        <f t="shared" si="1"/>
        <v>1977.8568249110099</v>
      </c>
      <c r="E19" s="114"/>
      <c r="F19" s="30"/>
      <c r="G19" s="40"/>
      <c r="H19" s="114">
        <f t="shared" si="1"/>
        <v>756.35458296754177</v>
      </c>
      <c r="I19" s="30">
        <f t="shared" si="1"/>
        <v>4420.8613087979465</v>
      </c>
      <c r="J19" s="40">
        <f t="shared" si="1"/>
        <v>1977.8568249110099</v>
      </c>
    </row>
    <row r="20" spans="1:10" ht="13">
      <c r="A20" s="94" t="s">
        <v>52</v>
      </c>
      <c r="B20" s="114">
        <f t="shared" si="1"/>
        <v>343.70619863639155</v>
      </c>
      <c r="C20" s="30">
        <f t="shared" si="1"/>
        <v>985.99783201186824</v>
      </c>
      <c r="D20" s="30">
        <f t="shared" si="1"/>
        <v>557.80340976155037</v>
      </c>
      <c r="E20" s="114"/>
      <c r="F20" s="30"/>
      <c r="G20" s="40"/>
      <c r="H20" s="114">
        <f t="shared" si="1"/>
        <v>343.70619863639155</v>
      </c>
      <c r="I20" s="30">
        <f t="shared" si="1"/>
        <v>985.99783201186824</v>
      </c>
      <c r="J20" s="40">
        <f t="shared" si="1"/>
        <v>557.80340976155037</v>
      </c>
    </row>
    <row r="21" spans="1:10" ht="13">
      <c r="A21" s="36"/>
      <c r="B21" s="119"/>
      <c r="C21" s="73"/>
      <c r="D21" s="75"/>
      <c r="E21" s="73"/>
      <c r="F21" s="73"/>
      <c r="G21" s="73"/>
      <c r="H21" s="119"/>
      <c r="I21" s="73"/>
      <c r="J21" s="75"/>
    </row>
    <row r="22" spans="1:10" ht="13">
      <c r="A22" s="36" t="s">
        <v>35</v>
      </c>
      <c r="B22" s="119">
        <f t="shared" ref="B22:J22" si="2">B18+B19+B20</f>
        <v>2960.9232964789471</v>
      </c>
      <c r="C22" s="73">
        <f t="shared" si="2"/>
        <v>21544.618051852678</v>
      </c>
      <c r="D22" s="75">
        <f t="shared" si="2"/>
        <v>9155.4882149368568</v>
      </c>
      <c r="E22" s="73"/>
      <c r="F22" s="73"/>
      <c r="G22" s="73"/>
      <c r="H22" s="119">
        <f t="shared" si="2"/>
        <v>2960.9232964789471</v>
      </c>
      <c r="I22" s="73">
        <f t="shared" si="2"/>
        <v>21544.618051852678</v>
      </c>
      <c r="J22" s="75">
        <f t="shared" si="2"/>
        <v>9155.4882149368568</v>
      </c>
    </row>
    <row r="23" spans="1:10" ht="13">
      <c r="A23" s="36"/>
      <c r="B23" s="114"/>
      <c r="C23" s="30"/>
      <c r="D23" s="40"/>
      <c r="E23" s="30"/>
      <c r="F23" s="30"/>
      <c r="G23" s="30"/>
      <c r="H23" s="114"/>
      <c r="I23" s="30"/>
      <c r="J23" s="40"/>
    </row>
    <row r="24" spans="1:10" ht="13">
      <c r="A24" s="378" t="str">
        <f>'Resid TSM Sum by Rate Schedule'!A25</f>
        <v>Annualized Transformer Cost at 8.05%</v>
      </c>
      <c r="B24" s="119">
        <f>B18*Inputs!$C$5</f>
        <v>149.75972635592149</v>
      </c>
      <c r="C24" s="73">
        <f>C18*Inputs!$C$5</f>
        <v>1298.7452534492793</v>
      </c>
      <c r="D24" s="75">
        <f>D18*Inputs!$C$5</f>
        <v>532.75490205370727</v>
      </c>
      <c r="E24" s="73"/>
      <c r="F24" s="73"/>
      <c r="G24" s="73"/>
      <c r="H24" s="119">
        <f>H18*Inputs!$C$5</f>
        <v>149.75972635592149</v>
      </c>
      <c r="I24" s="73">
        <f>I18*Inputs!$C$5</f>
        <v>1298.7452534492793</v>
      </c>
      <c r="J24" s="75">
        <f>J18*Inputs!$C$5</f>
        <v>532.75490205370727</v>
      </c>
    </row>
    <row r="25" spans="1:10" ht="13">
      <c r="A25" s="378" t="str">
        <f>'Resid TSM Sum by Rate Schedule'!A26</f>
        <v>Annualized Services Cost at 7.08%</v>
      </c>
      <c r="B25" s="119">
        <f>B19*Inputs!$C$6</f>
        <v>53.531040946733491</v>
      </c>
      <c r="C25" s="73">
        <f>C19*Inputs!$C$6</f>
        <v>312.88672412427024</v>
      </c>
      <c r="D25" s="75">
        <f>D19*Inputs!$C$6</f>
        <v>139.98293533924573</v>
      </c>
      <c r="E25" s="73"/>
      <c r="F25" s="73"/>
      <c r="G25" s="73"/>
      <c r="H25" s="119">
        <f>H19*Inputs!$C$6</f>
        <v>53.531040946733491</v>
      </c>
      <c r="I25" s="73">
        <f>I19*Inputs!$C$6</f>
        <v>312.88672412427024</v>
      </c>
      <c r="J25" s="75">
        <f>J19*Inputs!$C$6</f>
        <v>139.98293533924573</v>
      </c>
    </row>
    <row r="26" spans="1:10" ht="16">
      <c r="A26" s="378" t="str">
        <f>'Resid TSM Sum by Rate Schedule'!A27</f>
        <v>Annualized Meter Cost at 10.78%</v>
      </c>
      <c r="B26" s="459">
        <f>B20*Inputs!$C$7</f>
        <v>37.039996645423358</v>
      </c>
      <c r="C26" s="458">
        <f>C20*Inputs!$C$7</f>
        <v>106.25748541925606</v>
      </c>
      <c r="D26" s="457">
        <f>D20*Inputs!$C$7</f>
        <v>60.112492903367581</v>
      </c>
      <c r="E26" s="458"/>
      <c r="F26" s="458"/>
      <c r="G26" s="458"/>
      <c r="H26" s="459">
        <f>H20*Inputs!$C$7</f>
        <v>37.039996645423358</v>
      </c>
      <c r="I26" s="458">
        <f>I20*Inputs!$C$7</f>
        <v>106.25748541925606</v>
      </c>
      <c r="J26" s="457">
        <f>J20*Inputs!$C$7</f>
        <v>60.112492903367581</v>
      </c>
    </row>
    <row r="27" spans="1:10" ht="13">
      <c r="A27" s="86" t="s">
        <v>275</v>
      </c>
      <c r="B27" s="119">
        <f>SUM(B24:B26)</f>
        <v>240.33076394807836</v>
      </c>
      <c r="C27" s="73">
        <f t="shared" ref="C27:J27" si="3">SUM(C24:C26)</f>
        <v>1717.8894629928056</v>
      </c>
      <c r="D27" s="75">
        <f t="shared" si="3"/>
        <v>732.85033029632064</v>
      </c>
      <c r="E27" s="73"/>
      <c r="F27" s="73"/>
      <c r="G27" s="73"/>
      <c r="H27" s="119">
        <f t="shared" si="3"/>
        <v>240.33076394807836</v>
      </c>
      <c r="I27" s="73">
        <f t="shared" si="3"/>
        <v>1717.8894629928056</v>
      </c>
      <c r="J27" s="75">
        <f t="shared" si="3"/>
        <v>732.85033029632064</v>
      </c>
    </row>
    <row r="28" spans="1:10" ht="13">
      <c r="A28" s="47"/>
      <c r="B28" s="114"/>
      <c r="C28" s="30"/>
      <c r="D28" s="40"/>
      <c r="E28" s="30"/>
      <c r="F28" s="30"/>
      <c r="G28" s="30"/>
      <c r="H28" s="114"/>
      <c r="I28" s="30"/>
      <c r="J28" s="40"/>
    </row>
    <row r="29" spans="1:10" ht="13">
      <c r="A29" s="36" t="s">
        <v>50</v>
      </c>
      <c r="B29" s="114">
        <f>'Sch TOU-PA TSM Summary'!B$29*Inputs!$C$13</f>
        <v>91.972720360028021</v>
      </c>
      <c r="C29" s="30">
        <f>'Sch TOU-PA TSM Summary'!C$29*Inputs!$C$13</f>
        <v>91.972720360028021</v>
      </c>
      <c r="D29" s="40">
        <f>'Sch TOU-PA TSM Summary'!D$29*Inputs!$C$13</f>
        <v>91.972720360028021</v>
      </c>
      <c r="E29" s="30"/>
      <c r="F29" s="30"/>
      <c r="G29" s="30"/>
      <c r="H29" s="114">
        <f>'Sch TOU-PA TSM Summary'!H$29*Inputs!$C$13</f>
        <v>91.972720360028021</v>
      </c>
      <c r="I29" s="30">
        <f>'Sch TOU-PA TSM Summary'!I$29*Inputs!$C$13</f>
        <v>91.972720360028021</v>
      </c>
      <c r="J29" s="40">
        <f>'Sch TOU-PA TSM Summary'!J$29*Inputs!$C$13</f>
        <v>91.972720360028021</v>
      </c>
    </row>
    <row r="30" spans="1:10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7">
        <f>-Inputs!$C$18</f>
        <v>-3.0284021924274875</v>
      </c>
      <c r="E30" s="30"/>
      <c r="F30" s="545"/>
      <c r="G30" s="545"/>
      <c r="H30" s="546">
        <f>-Inputs!$C$18</f>
        <v>-3.0284021924274875</v>
      </c>
      <c r="I30" s="545">
        <f>-Inputs!$C$18</f>
        <v>-3.0284021924274875</v>
      </c>
      <c r="J30" s="547">
        <f>-Inputs!$C$18</f>
        <v>-3.0284021924274875</v>
      </c>
    </row>
    <row r="31" spans="1:10" ht="13">
      <c r="A31" s="36" t="s">
        <v>328</v>
      </c>
      <c r="B31" s="114">
        <f>B29+B30</f>
        <v>88.944318167600528</v>
      </c>
      <c r="C31" s="30">
        <f t="shared" ref="C31:D31" si="4">C29+C30</f>
        <v>88.944318167600528</v>
      </c>
      <c r="D31" s="40">
        <f t="shared" si="4"/>
        <v>88.944318167600528</v>
      </c>
      <c r="E31" s="30"/>
      <c r="F31" s="30"/>
      <c r="G31" s="30"/>
      <c r="H31" s="114">
        <f t="shared" ref="H31:I31" si="5">H29+H30</f>
        <v>88.944318167600528</v>
      </c>
      <c r="I31" s="30">
        <f t="shared" si="5"/>
        <v>88.944318167600528</v>
      </c>
      <c r="J31" s="40">
        <f t="shared" ref="J31" si="6">J29+J30</f>
        <v>88.944318167600528</v>
      </c>
    </row>
    <row r="32" spans="1:10" ht="13">
      <c r="A32" s="11"/>
      <c r="B32" s="10"/>
      <c r="C32" s="27"/>
      <c r="D32" s="81"/>
      <c r="E32" s="27"/>
      <c r="F32" s="27"/>
      <c r="G32" s="27"/>
      <c r="H32" s="10"/>
      <c r="I32" s="27"/>
      <c r="J32" s="81"/>
    </row>
    <row r="33" spans="1:10" ht="13">
      <c r="A33" s="36" t="s">
        <v>57</v>
      </c>
      <c r="B33" s="161">
        <f>'Sch TOU-PA TSM Summary'!B31*Inputs!$C$14</f>
        <v>160.05279683391606</v>
      </c>
      <c r="C33" s="162">
        <f>'Sch TOU-PA TSM Summary'!C31*Inputs!$C$14</f>
        <v>160.05279683391606</v>
      </c>
      <c r="D33" s="290">
        <f>'Sch TOU-PA TSM Summary'!D31*Inputs!$C$14</f>
        <v>160.05279683391606</v>
      </c>
      <c r="E33" s="162"/>
      <c r="F33" s="162"/>
      <c r="G33" s="162"/>
      <c r="H33" s="161">
        <f>'Sch TOU-PA TSM Summary'!H31*Inputs!$C$14</f>
        <v>160.05279683391606</v>
      </c>
      <c r="I33" s="162">
        <f>'Sch TOU-PA TSM Summary'!I31*Inputs!$C$14</f>
        <v>160.05279683391606</v>
      </c>
      <c r="J33" s="290">
        <f>'Sch TOU-PA TSM Summary'!J31*Inputs!$C$14</f>
        <v>160.05279683391606</v>
      </c>
    </row>
    <row r="34" spans="1:10" ht="13.5" thickBot="1">
      <c r="A34" s="11"/>
      <c r="B34" s="116"/>
      <c r="C34" s="87"/>
      <c r="D34" s="88"/>
      <c r="E34" s="87"/>
      <c r="F34" s="87"/>
      <c r="G34" s="87"/>
      <c r="H34" s="116"/>
      <c r="I34" s="87"/>
      <c r="J34" s="88"/>
    </row>
    <row r="35" spans="1:10" ht="13.5" thickBot="1">
      <c r="A35" s="278" t="s">
        <v>126</v>
      </c>
      <c r="B35" s="279">
        <f t="shared" ref="B35:J35" si="7">B27+B31+B33</f>
        <v>489.32787894959495</v>
      </c>
      <c r="C35" s="280">
        <f t="shared" si="7"/>
        <v>1966.8865779943224</v>
      </c>
      <c r="D35" s="291">
        <f t="shared" si="7"/>
        <v>981.84744529783723</v>
      </c>
      <c r="E35" s="279"/>
      <c r="F35" s="280"/>
      <c r="G35" s="280"/>
      <c r="H35" s="279">
        <f t="shared" si="7"/>
        <v>489.32787894959495</v>
      </c>
      <c r="I35" s="280">
        <f t="shared" si="7"/>
        <v>1966.8865779943224</v>
      </c>
      <c r="J35" s="291">
        <f t="shared" si="7"/>
        <v>981.84744529783723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3">
    <tabColor theme="9" tint="-0.499984740745262"/>
    <pageSetUpPr fitToPage="1"/>
  </sheetPr>
  <dimension ref="A1:F66"/>
  <sheetViews>
    <sheetView topLeftCell="A25" zoomScaleNormal="100" workbookViewId="0">
      <selection activeCell="B38" sqref="B38"/>
    </sheetView>
  </sheetViews>
  <sheetFormatPr defaultRowHeight="12.5"/>
  <cols>
    <col min="1" max="1" width="42.7265625" customWidth="1"/>
    <col min="2" max="2" width="35.54296875" customWidth="1"/>
    <col min="5" max="5" width="12.26953125" bestFit="1" customWidth="1"/>
  </cols>
  <sheetData>
    <row r="1" spans="1:4" ht="18.5" thickBot="1">
      <c r="A1" s="750" t="s">
        <v>318</v>
      </c>
      <c r="B1" s="750"/>
    </row>
    <row r="2" spans="1:4" ht="13">
      <c r="A2" s="447"/>
      <c r="B2" s="446"/>
    </row>
    <row r="3" spans="1:4" ht="13.5" thickBot="1">
      <c r="A3" s="448" t="s">
        <v>47</v>
      </c>
      <c r="B3" s="450" t="s">
        <v>173</v>
      </c>
    </row>
    <row r="4" spans="1:4" ht="13">
      <c r="A4" s="35"/>
      <c r="B4" s="7"/>
    </row>
    <row r="5" spans="1:4" ht="13">
      <c r="A5" s="36"/>
      <c r="B5" s="9"/>
    </row>
    <row r="6" spans="1:4" ht="13">
      <c r="A6" s="36" t="s">
        <v>174</v>
      </c>
      <c r="B6" s="75"/>
    </row>
    <row r="7" spans="1:4" ht="13">
      <c r="A7" s="37"/>
      <c r="B7" s="75"/>
    </row>
    <row r="8" spans="1:4" ht="13">
      <c r="A8" s="36" t="s">
        <v>53</v>
      </c>
      <c r="B8" s="404">
        <v>35.14957239012459</v>
      </c>
      <c r="C8" s="58"/>
      <c r="D8" s="31"/>
    </row>
    <row r="9" spans="1:4" ht="13">
      <c r="A9" s="36" t="s">
        <v>51</v>
      </c>
      <c r="B9" s="404">
        <v>46.972334953224312</v>
      </c>
      <c r="C9" s="58"/>
      <c r="D9" s="31"/>
    </row>
    <row r="10" spans="1:4" ht="13">
      <c r="A10" s="36" t="s">
        <v>52</v>
      </c>
      <c r="B10" s="75">
        <v>0</v>
      </c>
      <c r="D10" s="31"/>
    </row>
    <row r="11" spans="1:4" ht="13">
      <c r="A11" s="38"/>
      <c r="B11" s="40"/>
      <c r="D11" s="31"/>
    </row>
    <row r="12" spans="1:4" ht="13">
      <c r="A12" s="36" t="s">
        <v>35</v>
      </c>
      <c r="B12" s="40">
        <f>SUM(B8:B10)</f>
        <v>82.121907343348909</v>
      </c>
      <c r="D12" s="31"/>
    </row>
    <row r="13" spans="1:4" ht="13">
      <c r="A13" s="38"/>
      <c r="B13" s="40"/>
      <c r="D13" s="31"/>
    </row>
    <row r="14" spans="1:4" ht="13">
      <c r="A14" s="36" t="s">
        <v>61</v>
      </c>
      <c r="B14" s="40"/>
      <c r="D14" s="31"/>
    </row>
    <row r="15" spans="1:4" ht="13">
      <c r="A15" s="47">
        <f>Inputs!C3</f>
        <v>2.9094935671404847E-2</v>
      </c>
      <c r="B15" s="40"/>
      <c r="D15" s="31"/>
    </row>
    <row r="16" spans="1:4" ht="13">
      <c r="A16" s="36" t="s">
        <v>60</v>
      </c>
      <c r="B16" s="40"/>
      <c r="D16" s="31"/>
    </row>
    <row r="17" spans="1:5" ht="13">
      <c r="A17" s="47">
        <f>Inputs!C4</f>
        <v>1.99475E-2</v>
      </c>
      <c r="B17" s="40"/>
      <c r="D17" s="31"/>
    </row>
    <row r="18" spans="1:5" ht="13">
      <c r="A18" s="94" t="s">
        <v>92</v>
      </c>
      <c r="B18" s="40">
        <f t="shared" ref="B18:B20" si="0">(B8*(1+$A$15)*(1+$A$17))</f>
        <v>36.893792833482273</v>
      </c>
      <c r="D18" s="31"/>
    </row>
    <row r="19" spans="1:5" ht="13">
      <c r="A19" s="94" t="s">
        <v>51</v>
      </c>
      <c r="B19" s="40">
        <f t="shared" si="0"/>
        <v>49.303234060283636</v>
      </c>
      <c r="D19" s="31"/>
    </row>
    <row r="20" spans="1:5" ht="13">
      <c r="A20" s="94" t="s">
        <v>52</v>
      </c>
      <c r="B20" s="40">
        <f t="shared" si="0"/>
        <v>0</v>
      </c>
      <c r="D20" s="31"/>
    </row>
    <row r="21" spans="1:5" ht="13">
      <c r="A21" s="47"/>
      <c r="B21" s="40"/>
      <c r="D21" s="31"/>
    </row>
    <row r="22" spans="1:5" ht="13">
      <c r="A22" s="36" t="s">
        <v>35</v>
      </c>
      <c r="B22" s="40">
        <f>SUM(B18:B20)</f>
        <v>86.197026893765909</v>
      </c>
      <c r="D22" s="31"/>
    </row>
    <row r="23" spans="1:5" ht="13">
      <c r="A23" s="38"/>
      <c r="B23" s="40"/>
      <c r="D23" s="31"/>
    </row>
    <row r="24" spans="1:5" ht="13">
      <c r="A24" s="94" t="s">
        <v>446</v>
      </c>
      <c r="B24" s="75">
        <f>B18*Inputs!$C$5</f>
        <v>2.9691631030277739</v>
      </c>
      <c r="D24" s="31"/>
    </row>
    <row r="25" spans="1:5" ht="13">
      <c r="A25" s="94" t="s">
        <v>447</v>
      </c>
      <c r="B25" s="75">
        <f>B19*Inputs!$C$6</f>
        <v>3.4894393459379485</v>
      </c>
      <c r="D25" s="31"/>
    </row>
    <row r="26" spans="1:5" ht="16">
      <c r="A26" s="94" t="s">
        <v>448</v>
      </c>
      <c r="B26" s="457">
        <f>B20*Inputs!$C$7</f>
        <v>0</v>
      </c>
      <c r="D26" s="31"/>
    </row>
    <row r="27" spans="1:5" ht="13">
      <c r="A27" s="86" t="s">
        <v>275</v>
      </c>
      <c r="B27" s="75">
        <f>SUM(B24:B26)</f>
        <v>6.4586024489657223</v>
      </c>
      <c r="D27" s="31"/>
    </row>
    <row r="28" spans="1:5" ht="13">
      <c r="A28" s="36"/>
      <c r="B28" s="40"/>
      <c r="D28" s="31"/>
      <c r="E28" s="12"/>
    </row>
    <row r="29" spans="1:5" ht="13">
      <c r="A29" s="36" t="s">
        <v>169</v>
      </c>
      <c r="B29" s="539">
        <v>3145.2171148141138</v>
      </c>
      <c r="C29" s="58"/>
      <c r="D29" s="31"/>
      <c r="E29" s="580"/>
    </row>
    <row r="30" spans="1:5" ht="13">
      <c r="A30" s="36" t="s">
        <v>59</v>
      </c>
      <c r="B30" s="43">
        <v>103</v>
      </c>
      <c r="D30" s="31"/>
      <c r="E30" s="580"/>
    </row>
    <row r="31" spans="1:5" ht="13">
      <c r="A31" s="36"/>
      <c r="B31" s="43"/>
      <c r="D31" s="31"/>
      <c r="E31" s="12"/>
    </row>
    <row r="32" spans="1:5" ht="13">
      <c r="A32" s="36" t="s">
        <v>175</v>
      </c>
      <c r="B32" s="44">
        <f>B27</f>
        <v>6.4586024489657223</v>
      </c>
      <c r="D32" s="31"/>
      <c r="E32" s="31"/>
    </row>
    <row r="33" spans="1:6" ht="13">
      <c r="A33" s="36"/>
      <c r="B33" s="44"/>
      <c r="D33" s="31"/>
    </row>
    <row r="34" spans="1:6" ht="13">
      <c r="A34" s="36" t="s">
        <v>50</v>
      </c>
      <c r="B34" s="711">
        <v>0.19745327451084418</v>
      </c>
      <c r="D34" s="31"/>
    </row>
    <row r="35" spans="1:6" ht="16">
      <c r="A35" s="36" t="s">
        <v>330</v>
      </c>
      <c r="B35" s="547">
        <f>-Inputs!C18*B30/B29</f>
        <v>-9.9174528954089833E-2</v>
      </c>
      <c r="D35" s="31"/>
    </row>
    <row r="36" spans="1:6" ht="13">
      <c r="A36" s="36" t="s">
        <v>328</v>
      </c>
      <c r="B36" s="40">
        <f>B34+B35</f>
        <v>9.8278745556754352E-2</v>
      </c>
      <c r="D36" s="31"/>
      <c r="E36" s="327"/>
    </row>
    <row r="37" spans="1:6" ht="13">
      <c r="A37" s="11"/>
      <c r="B37" s="40"/>
      <c r="D37" s="31"/>
    </row>
    <row r="38" spans="1:6" ht="13">
      <c r="A38" s="36" t="s">
        <v>57</v>
      </c>
      <c r="B38" s="711">
        <v>1.1316978447365378</v>
      </c>
      <c r="D38" s="31"/>
      <c r="E38" s="31"/>
    </row>
    <row r="39" spans="1:6" ht="13">
      <c r="A39" s="11"/>
      <c r="B39" s="40"/>
      <c r="D39" s="31"/>
    </row>
    <row r="40" spans="1:6" ht="13">
      <c r="A40" s="36" t="s">
        <v>176</v>
      </c>
      <c r="B40" s="40">
        <f>B32+B36+B38</f>
        <v>7.6885790392590145</v>
      </c>
      <c r="D40" s="31"/>
      <c r="E40" s="31"/>
      <c r="F40" s="31"/>
    </row>
    <row r="41" spans="1:6" ht="13" thickBot="1">
      <c r="A41" s="39"/>
      <c r="B41" s="17"/>
    </row>
    <row r="42" spans="1:6">
      <c r="A42" s="243"/>
      <c r="B42" s="258"/>
    </row>
    <row r="43" spans="1:6" ht="13">
      <c r="A43" s="10" t="s">
        <v>271</v>
      </c>
      <c r="B43" s="14"/>
    </row>
    <row r="44" spans="1:6">
      <c r="A44" s="490" t="s">
        <v>300</v>
      </c>
      <c r="B44" s="76"/>
    </row>
    <row r="45" spans="1:6">
      <c r="A45" s="490" t="s">
        <v>301</v>
      </c>
      <c r="B45" s="76"/>
    </row>
    <row r="46" spans="1:6">
      <c r="A46" s="415" t="s">
        <v>423</v>
      </c>
      <c r="B46" s="76"/>
    </row>
    <row r="47" spans="1:6" ht="13" thickBot="1">
      <c r="A47" s="432" t="s">
        <v>269</v>
      </c>
      <c r="B47" s="80"/>
    </row>
    <row r="54" spans="1:1">
      <c r="A54" s="19"/>
    </row>
    <row r="66" spans="1:1">
      <c r="A66" s="19"/>
    </row>
  </sheetData>
  <mergeCells count="1">
    <mergeCell ref="A1:B1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333333"/>
  </sheetPr>
  <dimension ref="A1:AB73"/>
  <sheetViews>
    <sheetView zoomScaleNormal="100" workbookViewId="0">
      <pane xSplit="1" topLeftCell="B1" activePane="topRight" state="frozen"/>
      <selection activeCell="D15" sqref="D15"/>
      <selection pane="topRight" activeCell="B7" sqref="B7"/>
    </sheetView>
  </sheetViews>
  <sheetFormatPr defaultRowHeight="12.5"/>
  <cols>
    <col min="1" max="1" width="27" customWidth="1"/>
    <col min="2" max="17" width="12.7265625" customWidth="1"/>
    <col min="18" max="18" width="12.81640625" bestFit="1" customWidth="1"/>
    <col min="22" max="22" width="12.81640625" bestFit="1" customWidth="1"/>
    <col min="23" max="23" width="11.26953125" bestFit="1" customWidth="1"/>
    <col min="24" max="24" width="7.26953125" bestFit="1" customWidth="1"/>
    <col min="25" max="25" width="8.7265625" bestFit="1" customWidth="1"/>
    <col min="28" max="28" width="11.26953125" bestFit="1" customWidth="1"/>
  </cols>
  <sheetData>
    <row r="1" spans="1:28" ht="18.5" thickBot="1">
      <c r="A1" s="758" t="s">
        <v>195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35"/>
      <c r="X1" s="735"/>
      <c r="Y1" s="735"/>
    </row>
    <row r="2" spans="1:28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  <c r="V2" s="745"/>
      <c r="W2" s="739"/>
      <c r="X2" s="739"/>
      <c r="Y2" s="740"/>
    </row>
    <row r="3" spans="1:28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  <c r="V3" s="747" t="s">
        <v>84</v>
      </c>
      <c r="W3" s="748"/>
      <c r="X3" s="748"/>
      <c r="Y3" s="749"/>
    </row>
    <row r="4" spans="1:28" ht="13.5" thickBot="1">
      <c r="A4" s="77" t="s">
        <v>4</v>
      </c>
      <c r="B4" s="550" t="s">
        <v>36</v>
      </c>
      <c r="C4" s="551" t="s">
        <v>37</v>
      </c>
      <c r="D4" s="551" t="s">
        <v>38</v>
      </c>
      <c r="E4" s="552" t="s">
        <v>2</v>
      </c>
      <c r="F4" s="550" t="s">
        <v>36</v>
      </c>
      <c r="G4" s="551" t="s">
        <v>37</v>
      </c>
      <c r="H4" s="551" t="s">
        <v>38</v>
      </c>
      <c r="I4" s="552" t="s">
        <v>2</v>
      </c>
      <c r="J4" s="550" t="s">
        <v>36</v>
      </c>
      <c r="K4" s="551" t="s">
        <v>37</v>
      </c>
      <c r="L4" s="551" t="s">
        <v>38</v>
      </c>
      <c r="M4" s="552" t="s">
        <v>2</v>
      </c>
      <c r="N4" s="550" t="s">
        <v>36</v>
      </c>
      <c r="O4" s="551" t="s">
        <v>37</v>
      </c>
      <c r="P4" s="551" t="s">
        <v>38</v>
      </c>
      <c r="Q4" s="552" t="s">
        <v>2</v>
      </c>
      <c r="R4" s="550" t="s">
        <v>36</v>
      </c>
      <c r="S4" s="551" t="s">
        <v>37</v>
      </c>
      <c r="T4" s="551" t="s">
        <v>38</v>
      </c>
      <c r="U4" s="552" t="s">
        <v>2</v>
      </c>
      <c r="V4" s="550" t="s">
        <v>36</v>
      </c>
      <c r="W4" s="551" t="s">
        <v>37</v>
      </c>
      <c r="X4" s="551" t="s">
        <v>38</v>
      </c>
      <c r="Y4" s="552" t="s">
        <v>2</v>
      </c>
    </row>
    <row r="5" spans="1:28" ht="13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 ht="13">
      <c r="A7" s="124" t="s">
        <v>5</v>
      </c>
      <c r="B7" s="402">
        <v>359.9068707037095</v>
      </c>
      <c r="C7" s="401">
        <v>138.7130210066349</v>
      </c>
      <c r="D7" s="401">
        <v>289.75</v>
      </c>
      <c r="E7" s="41">
        <f>SUM(B7:D7)</f>
        <v>788.3698917103444</v>
      </c>
      <c r="F7" s="402">
        <v>415.6877757254037</v>
      </c>
      <c r="G7" s="401">
        <v>754.14273000301057</v>
      </c>
      <c r="H7" s="401">
        <v>373.18</v>
      </c>
      <c r="I7" s="41">
        <f>SUM(F7:H7)</f>
        <v>1543.0105057284143</v>
      </c>
      <c r="J7" s="402">
        <v>437.08100819147381</v>
      </c>
      <c r="K7" s="401">
        <v>754.14273000301057</v>
      </c>
      <c r="L7" s="401">
        <v>373.18</v>
      </c>
      <c r="M7" s="41">
        <f>SUM(J7:L7)</f>
        <v>1564.4037381944845</v>
      </c>
      <c r="N7" s="402">
        <v>515.58235631294031</v>
      </c>
      <c r="O7" s="401">
        <v>754.14273000301057</v>
      </c>
      <c r="P7" s="401">
        <v>373.18</v>
      </c>
      <c r="Q7" s="41">
        <f>SUM(N7:P7)</f>
        <v>1642.9050863159509</v>
      </c>
      <c r="R7" s="113"/>
      <c r="S7" s="401">
        <v>3870.6678530329991</v>
      </c>
      <c r="T7" s="401">
        <v>1070.5500000000002</v>
      </c>
      <c r="U7" s="41">
        <f>SUM(R7:T7)</f>
        <v>4941.2178530329993</v>
      </c>
      <c r="V7" s="113"/>
      <c r="W7" s="401">
        <v>72866.036185076417</v>
      </c>
      <c r="X7" s="401">
        <v>1196.8699999999999</v>
      </c>
      <c r="Y7" s="41">
        <f>SUM(V7:X7)</f>
        <v>74062.906185076412</v>
      </c>
      <c r="AB7" s="31"/>
    </row>
    <row r="8" spans="1:28" ht="13">
      <c r="A8" s="124" t="s">
        <v>6</v>
      </c>
      <c r="B8" s="402">
        <v>1079.7206121111285</v>
      </c>
      <c r="C8" s="401">
        <v>138.7130210066349</v>
      </c>
      <c r="D8" s="401">
        <v>289.75</v>
      </c>
      <c r="E8" s="41">
        <f t="shared" ref="E8:E16" si="0">SUM(B8:D8)</f>
        <v>1508.1836331177633</v>
      </c>
      <c r="F8" s="402">
        <v>1247.063327176211</v>
      </c>
      <c r="G8" s="401">
        <v>754.14273000301057</v>
      </c>
      <c r="H8" s="401">
        <v>373.18</v>
      </c>
      <c r="I8" s="41">
        <f t="shared" ref="I8:I17" si="1">SUM(F8:H8)</f>
        <v>2374.3860571792216</v>
      </c>
      <c r="J8" s="402">
        <v>1311.2430245744215</v>
      </c>
      <c r="K8" s="401">
        <v>754.14273000301057</v>
      </c>
      <c r="L8" s="401">
        <v>373.18</v>
      </c>
      <c r="M8" s="41">
        <f t="shared" ref="M8:M19" si="2">SUM(J8:L8)</f>
        <v>2438.565754577432</v>
      </c>
      <c r="N8" s="402">
        <v>1546.7470689388208</v>
      </c>
      <c r="O8" s="401">
        <v>754.14273000301057</v>
      </c>
      <c r="P8" s="401">
        <v>373.18</v>
      </c>
      <c r="Q8" s="41">
        <f t="shared" ref="Q8:Q34" si="3">SUM(N8:P8)</f>
        <v>2674.0697989418313</v>
      </c>
      <c r="R8" s="113"/>
      <c r="S8" s="401">
        <v>3870.6678530329991</v>
      </c>
      <c r="T8" s="401">
        <v>1070.5500000000002</v>
      </c>
      <c r="U8" s="41">
        <f t="shared" ref="U8:U19" si="4">SUM(R8:T8)</f>
        <v>4941.2178530329993</v>
      </c>
      <c r="V8" s="113"/>
      <c r="W8" s="401">
        <v>72866.036185076417</v>
      </c>
      <c r="X8" s="401">
        <v>1196.8699999999999</v>
      </c>
      <c r="Y8" s="41">
        <f t="shared" ref="Y8:Y19" si="5">SUM(V8:X8)</f>
        <v>74062.906185076412</v>
      </c>
    </row>
    <row r="9" spans="1:28" ht="13">
      <c r="A9" s="124" t="s">
        <v>7</v>
      </c>
      <c r="B9" s="402">
        <v>1079.7206121111285</v>
      </c>
      <c r="C9" s="401">
        <v>195.52229201326981</v>
      </c>
      <c r="D9" s="401">
        <v>289.75</v>
      </c>
      <c r="E9" s="41">
        <f t="shared" si="0"/>
        <v>1564.9929041243984</v>
      </c>
      <c r="F9" s="402">
        <v>2494.1266543524221</v>
      </c>
      <c r="G9" s="401">
        <v>888.28562532861781</v>
      </c>
      <c r="H9" s="401">
        <v>373.18</v>
      </c>
      <c r="I9" s="41">
        <f t="shared" si="1"/>
        <v>3755.5922796810396</v>
      </c>
      <c r="J9" s="402">
        <v>2622.486049148843</v>
      </c>
      <c r="K9" s="401">
        <v>888.28562532861781</v>
      </c>
      <c r="L9" s="401">
        <v>373.18</v>
      </c>
      <c r="M9" s="41">
        <f t="shared" si="2"/>
        <v>3883.9516744774605</v>
      </c>
      <c r="N9" s="402">
        <v>3093.4941378776416</v>
      </c>
      <c r="O9" s="401">
        <v>888.28562532861781</v>
      </c>
      <c r="P9" s="401">
        <v>373.18</v>
      </c>
      <c r="Q9" s="41">
        <f t="shared" si="3"/>
        <v>4354.9597632062596</v>
      </c>
      <c r="R9" s="113"/>
      <c r="S9" s="401">
        <v>3870.6678530329991</v>
      </c>
      <c r="T9" s="401">
        <v>1070.5500000000002</v>
      </c>
      <c r="U9" s="41">
        <f t="shared" si="4"/>
        <v>4941.2178530329993</v>
      </c>
      <c r="V9" s="113"/>
      <c r="W9" s="401">
        <v>72866.036185076417</v>
      </c>
      <c r="X9" s="401">
        <v>1196.8699999999999</v>
      </c>
      <c r="Y9" s="41">
        <f t="shared" si="5"/>
        <v>74062.906185076412</v>
      </c>
    </row>
    <row r="10" spans="1:28" ht="13">
      <c r="A10" s="124" t="s">
        <v>105</v>
      </c>
      <c r="B10" s="402">
        <v>2699.3015302778213</v>
      </c>
      <c r="C10" s="401">
        <v>213.73179817905475</v>
      </c>
      <c r="D10" s="401">
        <v>289.75</v>
      </c>
      <c r="E10" s="41">
        <f t="shared" si="0"/>
        <v>3202.783328456876</v>
      </c>
      <c r="F10" s="402">
        <v>5819.6288601556516</v>
      </c>
      <c r="G10" s="401">
        <v>888.28562532861781</v>
      </c>
      <c r="H10" s="401">
        <v>373.18</v>
      </c>
      <c r="I10" s="41">
        <f t="shared" si="1"/>
        <v>7081.0944854842701</v>
      </c>
      <c r="J10" s="402">
        <v>6119.1341146806335</v>
      </c>
      <c r="K10" s="401">
        <v>888.28562532861781</v>
      </c>
      <c r="L10" s="401">
        <v>373.18</v>
      </c>
      <c r="M10" s="41">
        <f t="shared" si="2"/>
        <v>7380.5997400092519</v>
      </c>
      <c r="N10" s="402">
        <v>7218.1529883811636</v>
      </c>
      <c r="O10" s="401">
        <v>888.28562532861781</v>
      </c>
      <c r="P10" s="401">
        <v>373.18</v>
      </c>
      <c r="Q10" s="41">
        <f t="shared" si="3"/>
        <v>8479.6186137097811</v>
      </c>
      <c r="R10" s="113"/>
      <c r="S10" s="401">
        <v>3870.6678530329991</v>
      </c>
      <c r="T10" s="401">
        <v>1070.5500000000002</v>
      </c>
      <c r="U10" s="41">
        <f t="shared" si="4"/>
        <v>4941.2178530329993</v>
      </c>
      <c r="V10" s="113"/>
      <c r="W10" s="401">
        <v>72866.036185076417</v>
      </c>
      <c r="X10" s="401">
        <v>1196.8699999999999</v>
      </c>
      <c r="Y10" s="41">
        <f t="shared" si="5"/>
        <v>74062.906185076412</v>
      </c>
    </row>
    <row r="11" spans="1:28" ht="13">
      <c r="A11" s="124" t="s">
        <v>97</v>
      </c>
      <c r="B11" s="402">
        <v>2699.3015302778213</v>
      </c>
      <c r="C11" s="401">
        <v>213.73179817905475</v>
      </c>
      <c r="D11" s="401">
        <v>289.75</v>
      </c>
      <c r="E11" s="41">
        <f t="shared" si="0"/>
        <v>3202.783328456876</v>
      </c>
      <c r="F11" s="402">
        <v>5819.6288601556516</v>
      </c>
      <c r="G11" s="401">
        <v>888.28562532861781</v>
      </c>
      <c r="H11" s="401">
        <v>373.18</v>
      </c>
      <c r="I11" s="41">
        <f t="shared" si="1"/>
        <v>7081.0944854842701</v>
      </c>
      <c r="J11" s="402">
        <v>6119.1341146806335</v>
      </c>
      <c r="K11" s="401">
        <v>888.28562532861781</v>
      </c>
      <c r="L11" s="401">
        <v>373.18</v>
      </c>
      <c r="M11" s="41">
        <f t="shared" si="2"/>
        <v>7380.5997400092519</v>
      </c>
      <c r="N11" s="402">
        <v>7218.1529883811636</v>
      </c>
      <c r="O11" s="401">
        <v>888.28562532861781</v>
      </c>
      <c r="P11" s="401">
        <v>373.18</v>
      </c>
      <c r="Q11" s="41">
        <f t="shared" si="3"/>
        <v>8479.6186137097811</v>
      </c>
      <c r="R11" s="113"/>
      <c r="S11" s="401">
        <v>3870.6678530329991</v>
      </c>
      <c r="T11" s="401">
        <v>1070.5500000000002</v>
      </c>
      <c r="U11" s="41">
        <f t="shared" si="4"/>
        <v>4941.2178530329993</v>
      </c>
      <c r="V11" s="113"/>
      <c r="W11" s="401">
        <v>72866.036185076417</v>
      </c>
      <c r="X11" s="401">
        <v>1196.8699999999999</v>
      </c>
      <c r="Y11" s="41">
        <f t="shared" si="5"/>
        <v>74062.906185076412</v>
      </c>
    </row>
    <row r="12" spans="1:28" ht="13">
      <c r="A12" s="124" t="s">
        <v>8</v>
      </c>
      <c r="B12" s="402">
        <v>5800.0690373856005</v>
      </c>
      <c r="C12" s="401">
        <v>515.2781532122292</v>
      </c>
      <c r="D12" s="401">
        <v>289.75</v>
      </c>
      <c r="E12" s="41">
        <f t="shared" si="0"/>
        <v>6605.0971905978295</v>
      </c>
      <c r="F12" s="402">
        <v>17458.886580466955</v>
      </c>
      <c r="G12" s="401">
        <v>1156.5714159798322</v>
      </c>
      <c r="H12" s="401">
        <v>373.18</v>
      </c>
      <c r="I12" s="41">
        <f t="shared" si="1"/>
        <v>18988.637996446789</v>
      </c>
      <c r="J12" s="402">
        <v>18357.402344041901</v>
      </c>
      <c r="K12" s="401">
        <v>1156.5714159798322</v>
      </c>
      <c r="L12" s="401">
        <v>373.18</v>
      </c>
      <c r="M12" s="41">
        <f t="shared" si="2"/>
        <v>19887.153760021734</v>
      </c>
      <c r="N12" s="402">
        <v>7218.1529883811636</v>
      </c>
      <c r="O12" s="401">
        <v>1156.5714159798322</v>
      </c>
      <c r="P12" s="401">
        <v>373.18</v>
      </c>
      <c r="Q12" s="41">
        <f t="shared" si="3"/>
        <v>8747.9044043609956</v>
      </c>
      <c r="R12" s="113"/>
      <c r="S12" s="401">
        <v>3870.6678530329991</v>
      </c>
      <c r="T12" s="401">
        <v>1070.5500000000002</v>
      </c>
      <c r="U12" s="41">
        <f t="shared" si="4"/>
        <v>4941.2178530329993</v>
      </c>
      <c r="V12" s="113"/>
      <c r="W12" s="401">
        <v>72866.036185076417</v>
      </c>
      <c r="X12" s="401">
        <v>1196.8699999999999</v>
      </c>
      <c r="Y12" s="41">
        <f t="shared" si="5"/>
        <v>74062.906185076412</v>
      </c>
    </row>
    <row r="13" spans="1:28" ht="13">
      <c r="A13" s="124" t="s">
        <v>9</v>
      </c>
      <c r="B13" s="402">
        <v>6368.9186698837793</v>
      </c>
      <c r="C13" s="401">
        <v>830.17368518837884</v>
      </c>
      <c r="D13" s="401">
        <v>289.75</v>
      </c>
      <c r="E13" s="41">
        <f t="shared" si="0"/>
        <v>7488.8423550721582</v>
      </c>
      <c r="F13" s="402">
        <v>17458.886580466955</v>
      </c>
      <c r="G13" s="401">
        <v>1781.4759788251249</v>
      </c>
      <c r="H13" s="401">
        <v>373.18</v>
      </c>
      <c r="I13" s="41">
        <f t="shared" si="1"/>
        <v>19613.54255929208</v>
      </c>
      <c r="J13" s="402">
        <v>18357.402344041901</v>
      </c>
      <c r="K13" s="401">
        <v>1781.4759788251249</v>
      </c>
      <c r="L13" s="401">
        <v>373.18</v>
      </c>
      <c r="M13" s="41">
        <f t="shared" si="2"/>
        <v>20512.058322867026</v>
      </c>
      <c r="N13" s="402">
        <v>10827.229482571745</v>
      </c>
      <c r="O13" s="401">
        <v>1156.5714159798322</v>
      </c>
      <c r="P13" s="401">
        <v>373.18</v>
      </c>
      <c r="Q13" s="41">
        <f t="shared" si="3"/>
        <v>12356.980898551577</v>
      </c>
      <c r="R13" s="113"/>
      <c r="S13" s="401">
        <v>3870.6678530329991</v>
      </c>
      <c r="T13" s="401">
        <v>1070.5500000000002</v>
      </c>
      <c r="U13" s="41">
        <f t="shared" si="4"/>
        <v>4941.2178530329993</v>
      </c>
      <c r="V13" s="113"/>
      <c r="W13" s="401">
        <v>72866.036185076417</v>
      </c>
      <c r="X13" s="401">
        <v>1196.8699999999999</v>
      </c>
      <c r="Y13" s="41">
        <f t="shared" si="5"/>
        <v>74062.906185076412</v>
      </c>
    </row>
    <row r="14" spans="1:28" ht="13">
      <c r="A14" s="124" t="s">
        <v>10</v>
      </c>
      <c r="B14" s="402">
        <v>6104.4280378817093</v>
      </c>
      <c r="C14" s="401">
        <v>1578.4436203767575</v>
      </c>
      <c r="D14" s="401">
        <v>289.75</v>
      </c>
      <c r="E14" s="41">
        <f t="shared" si="0"/>
        <v>7972.6216582584666</v>
      </c>
      <c r="F14" s="402">
        <v>10312.778791627177</v>
      </c>
      <c r="G14" s="401">
        <v>1781.4759788251249</v>
      </c>
      <c r="H14" s="401">
        <v>373.18</v>
      </c>
      <c r="I14" s="41">
        <f t="shared" si="1"/>
        <v>12467.434770452302</v>
      </c>
      <c r="J14" s="402">
        <v>10632.265611560561</v>
      </c>
      <c r="K14" s="401">
        <v>1781.4759788251249</v>
      </c>
      <c r="L14" s="401">
        <v>373.18</v>
      </c>
      <c r="M14" s="41">
        <f t="shared" si="2"/>
        <v>12786.921590385686</v>
      </c>
      <c r="N14" s="402">
        <v>10827.229482571745</v>
      </c>
      <c r="O14" s="401">
        <v>1781.4759788251249</v>
      </c>
      <c r="P14" s="401">
        <v>373.18</v>
      </c>
      <c r="Q14" s="41">
        <f t="shared" si="3"/>
        <v>12981.885461396871</v>
      </c>
      <c r="R14" s="113"/>
      <c r="S14" s="401">
        <v>3870.6678530329991</v>
      </c>
      <c r="T14" s="401">
        <v>1070.5500000000002</v>
      </c>
      <c r="U14" s="41">
        <f t="shared" si="4"/>
        <v>4941.2178530329993</v>
      </c>
      <c r="V14" s="113"/>
      <c r="W14" s="401">
        <v>72866.036185076417</v>
      </c>
      <c r="X14" s="401">
        <v>1196.8699999999999</v>
      </c>
      <c r="Y14" s="41">
        <f t="shared" si="5"/>
        <v>74062.906185076412</v>
      </c>
    </row>
    <row r="15" spans="1:28" ht="13">
      <c r="A15" s="124" t="s">
        <v>11</v>
      </c>
      <c r="B15" s="402">
        <v>6104.4280378817093</v>
      </c>
      <c r="C15" s="401">
        <v>2326.7135555651362</v>
      </c>
      <c r="D15" s="401">
        <v>289.75</v>
      </c>
      <c r="E15" s="41">
        <f t="shared" si="0"/>
        <v>8720.8915934468459</v>
      </c>
      <c r="F15" s="402">
        <v>10312.778791627177</v>
      </c>
      <c r="G15" s="401">
        <v>3562.9519576502498</v>
      </c>
      <c r="H15" s="401">
        <v>1070.5500000000002</v>
      </c>
      <c r="I15" s="41">
        <f t="shared" si="1"/>
        <v>14946.280749277426</v>
      </c>
      <c r="J15" s="402">
        <v>21264.531223121121</v>
      </c>
      <c r="K15" s="401">
        <v>3562.9519576502498</v>
      </c>
      <c r="L15" s="401">
        <v>1070.5500000000002</v>
      </c>
      <c r="M15" s="41">
        <f t="shared" si="2"/>
        <v>25898.03318077137</v>
      </c>
      <c r="N15" s="402">
        <v>21654.458965143491</v>
      </c>
      <c r="O15" s="401">
        <v>1781.4759788251249</v>
      </c>
      <c r="P15" s="401">
        <v>1070.5500000000002</v>
      </c>
      <c r="Q15" s="41">
        <f t="shared" si="3"/>
        <v>24506.484943968615</v>
      </c>
      <c r="R15" s="113"/>
      <c r="S15" s="401">
        <v>3870.6678530329991</v>
      </c>
      <c r="T15" s="401">
        <v>1196.8699999999999</v>
      </c>
      <c r="U15" s="41">
        <f t="shared" si="4"/>
        <v>5067.537853032999</v>
      </c>
      <c r="V15" s="113"/>
      <c r="W15" s="401">
        <v>72866.036185076417</v>
      </c>
      <c r="X15" s="401">
        <v>1196.8699999999999</v>
      </c>
      <c r="Y15" s="41">
        <f t="shared" si="5"/>
        <v>74062.906185076412</v>
      </c>
    </row>
    <row r="16" spans="1:28" ht="13">
      <c r="A16" s="124" t="s">
        <v>101</v>
      </c>
      <c r="B16" s="402">
        <v>8622.4294367037546</v>
      </c>
      <c r="C16" s="401">
        <v>2326.7135555651362</v>
      </c>
      <c r="D16" s="401">
        <v>289.75</v>
      </c>
      <c r="E16" s="41">
        <f t="shared" si="0"/>
        <v>11238.892992268891</v>
      </c>
      <c r="F16" s="402">
        <v>20625.557583254355</v>
      </c>
      <c r="G16" s="401">
        <v>4799.9629618624504</v>
      </c>
      <c r="H16" s="401">
        <v>1070.5500000000002</v>
      </c>
      <c r="I16" s="41">
        <f t="shared" si="1"/>
        <v>26496.070545116803</v>
      </c>
      <c r="J16" s="402">
        <v>11980.265558589947</v>
      </c>
      <c r="K16" s="401">
        <v>4799.9629618624504</v>
      </c>
      <c r="L16" s="401">
        <v>1070.5500000000002</v>
      </c>
      <c r="M16" s="41">
        <f t="shared" si="2"/>
        <v>17850.778520452397</v>
      </c>
      <c r="N16" s="402">
        <v>11342.068843866331</v>
      </c>
      <c r="O16" s="401">
        <v>2399.9814809312252</v>
      </c>
      <c r="P16" s="401">
        <v>1070.5500000000002</v>
      </c>
      <c r="Q16" s="41">
        <f t="shared" si="3"/>
        <v>14812.600324797557</v>
      </c>
      <c r="R16" s="113"/>
      <c r="S16" s="401">
        <v>3870.6678530329991</v>
      </c>
      <c r="T16" s="401">
        <v>1196.8699999999999</v>
      </c>
      <c r="U16" s="41">
        <f t="shared" si="4"/>
        <v>5067.537853032999</v>
      </c>
      <c r="V16" s="113"/>
      <c r="W16" s="401">
        <v>72866.036185076417</v>
      </c>
      <c r="X16" s="401">
        <v>1196.8699999999999</v>
      </c>
      <c r="Y16" s="41">
        <f t="shared" si="5"/>
        <v>74062.906185076412</v>
      </c>
    </row>
    <row r="17" spans="1:28" ht="13">
      <c r="A17" s="124" t="s">
        <v>102</v>
      </c>
      <c r="B17" s="113"/>
      <c r="C17" s="98"/>
      <c r="D17" s="98"/>
      <c r="E17" s="41"/>
      <c r="F17" s="402">
        <v>20625.557583254355</v>
      </c>
      <c r="G17" s="401">
        <v>4799.9629618624504</v>
      </c>
      <c r="H17" s="401">
        <v>1070.5500000000002</v>
      </c>
      <c r="I17" s="41">
        <f t="shared" si="1"/>
        <v>26496.070545116803</v>
      </c>
      <c r="J17" s="402">
        <v>11980.265558589947</v>
      </c>
      <c r="K17" s="401">
        <v>4799.9629618624504</v>
      </c>
      <c r="L17" s="401">
        <v>1070.5500000000002</v>
      </c>
      <c r="M17" s="41">
        <f t="shared" si="2"/>
        <v>17850.778520452397</v>
      </c>
      <c r="N17" s="402">
        <v>11342.068843866331</v>
      </c>
      <c r="O17" s="401">
        <v>2399.9814809312252</v>
      </c>
      <c r="P17" s="401">
        <v>1070.5500000000002</v>
      </c>
      <c r="Q17" s="41">
        <f t="shared" si="3"/>
        <v>14812.600324797557</v>
      </c>
      <c r="R17" s="113"/>
      <c r="S17" s="401">
        <v>3870.6678530329991</v>
      </c>
      <c r="T17" s="401">
        <v>1196.8699999999999</v>
      </c>
      <c r="U17" s="41">
        <f t="shared" si="4"/>
        <v>5067.537853032999</v>
      </c>
      <c r="V17" s="113"/>
      <c r="W17" s="401">
        <v>72866.036185076417</v>
      </c>
      <c r="X17" s="401">
        <v>1196.8699999999999</v>
      </c>
      <c r="Y17" s="41">
        <f t="shared" si="5"/>
        <v>74062.906185076412</v>
      </c>
      <c r="AB17" s="31"/>
    </row>
    <row r="18" spans="1:28" ht="13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v>23960.531117179893</v>
      </c>
      <c r="K18" s="401">
        <v>7831.0276978534475</v>
      </c>
      <c r="L18" s="401">
        <v>1070.5500000000002</v>
      </c>
      <c r="M18" s="41">
        <f t="shared" si="2"/>
        <v>32862.108815033345</v>
      </c>
      <c r="N18" s="402">
        <v>22684.137687732662</v>
      </c>
      <c r="O18" s="401">
        <v>3915.5138489267238</v>
      </c>
      <c r="P18" s="401">
        <v>1070.5500000000002</v>
      </c>
      <c r="Q18" s="41">
        <f t="shared" si="3"/>
        <v>27670.201536659384</v>
      </c>
      <c r="R18" s="113"/>
      <c r="S18" s="401">
        <v>3870.6678530329991</v>
      </c>
      <c r="T18" s="401">
        <v>1196.8699999999999</v>
      </c>
      <c r="U18" s="41">
        <f t="shared" si="4"/>
        <v>5067.537853032999</v>
      </c>
      <c r="V18" s="113"/>
      <c r="W18" s="401">
        <v>72866.036185076417</v>
      </c>
      <c r="X18" s="401">
        <v>1196.8699999999999</v>
      </c>
      <c r="Y18" s="41">
        <f t="shared" si="5"/>
        <v>74062.906185076412</v>
      </c>
      <c r="AB18" s="31"/>
    </row>
    <row r="19" spans="1:28" ht="13">
      <c r="A19" s="124" t="s">
        <v>13</v>
      </c>
      <c r="B19" s="113"/>
      <c r="C19" s="98"/>
      <c r="D19" s="98"/>
      <c r="E19" s="41"/>
      <c r="G19" s="98"/>
      <c r="H19" s="98"/>
      <c r="I19" s="41"/>
      <c r="J19" s="402">
        <v>15342.485412202193</v>
      </c>
      <c r="K19" s="401">
        <v>11746.541546780172</v>
      </c>
      <c r="L19" s="401">
        <v>1070.5500000000002</v>
      </c>
      <c r="M19" s="41">
        <f t="shared" si="2"/>
        <v>28159.576958982365</v>
      </c>
      <c r="N19" s="402">
        <v>15342.485412202193</v>
      </c>
      <c r="O19" s="401">
        <v>4799.9629618624504</v>
      </c>
      <c r="P19" s="401">
        <v>1070.5500000000002</v>
      </c>
      <c r="Q19" s="41">
        <f t="shared" si="3"/>
        <v>21212.998374064642</v>
      </c>
      <c r="R19" s="113"/>
      <c r="S19" s="401">
        <v>3870.6678530329991</v>
      </c>
      <c r="T19" s="401">
        <v>1196.8699999999999</v>
      </c>
      <c r="U19" s="41">
        <f t="shared" si="4"/>
        <v>5067.537853032999</v>
      </c>
      <c r="V19" s="113"/>
      <c r="W19" s="401">
        <v>72866.036185076417</v>
      </c>
      <c r="X19" s="401">
        <v>1196.8699999999999</v>
      </c>
      <c r="Y19" s="41">
        <f t="shared" si="5"/>
        <v>74062.906185076412</v>
      </c>
      <c r="AB19" s="31"/>
    </row>
    <row r="20" spans="1:28" ht="13">
      <c r="A20" s="124" t="s">
        <v>103</v>
      </c>
      <c r="B20" s="113"/>
      <c r="C20" s="98"/>
      <c r="D20" s="98"/>
      <c r="E20" s="41"/>
      <c r="F20" s="113"/>
      <c r="G20" s="98"/>
      <c r="H20" s="98"/>
      <c r="I20" s="41"/>
      <c r="J20" s="402">
        <v>20736.649964965192</v>
      </c>
      <c r="K20" s="401">
        <v>11746.541546780172</v>
      </c>
      <c r="L20" s="401">
        <v>1070.5500000000002</v>
      </c>
      <c r="M20" s="41">
        <f t="shared" ref="M20:M28" si="6">SUM(J20:L20)</f>
        <v>33553.741511745364</v>
      </c>
      <c r="N20" s="402">
        <v>17521.618447137709</v>
      </c>
      <c r="O20" s="401">
        <v>4799.9629618624504</v>
      </c>
      <c r="P20" s="401">
        <v>1070.5500000000002</v>
      </c>
      <c r="Q20" s="41">
        <f>SUM(N20:P20)</f>
        <v>23392.131409000158</v>
      </c>
      <c r="R20" s="113"/>
      <c r="S20" s="401">
        <v>3870.6678530329991</v>
      </c>
      <c r="T20" s="401">
        <v>1196.8699999999999</v>
      </c>
      <c r="U20" s="41">
        <f>SUM(R20:T20)</f>
        <v>5067.537853032999</v>
      </c>
      <c r="V20" s="113"/>
      <c r="W20" s="401">
        <v>72866.036185076417</v>
      </c>
      <c r="X20" s="401">
        <v>1196.8699999999999</v>
      </c>
      <c r="Y20" s="41">
        <f>SUM(V20:X20)</f>
        <v>74062.906185076412</v>
      </c>
      <c r="AB20" s="31"/>
    </row>
    <row r="21" spans="1:28" ht="13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402">
        <v>20736.649964965192</v>
      </c>
      <c r="K21" s="401">
        <v>11746.541546780172</v>
      </c>
      <c r="L21" s="401">
        <v>1070.5500000000002</v>
      </c>
      <c r="M21" s="41">
        <f t="shared" si="6"/>
        <v>33553.741511745364</v>
      </c>
      <c r="N21" s="402">
        <v>17521.618447137709</v>
      </c>
      <c r="O21" s="401">
        <v>4799.9629618624504</v>
      </c>
      <c r="P21" s="401">
        <v>1070.5500000000002</v>
      </c>
      <c r="Q21" s="41">
        <f t="shared" si="3"/>
        <v>23392.131409000158</v>
      </c>
      <c r="R21" s="113"/>
      <c r="S21" s="401">
        <v>3870.6678530329991</v>
      </c>
      <c r="T21" s="401">
        <v>1196.8699999999999</v>
      </c>
      <c r="U21" s="41">
        <f t="shared" ref="U21:U37" si="7">SUM(R21:T21)</f>
        <v>5067.537853032999</v>
      </c>
      <c r="V21" s="113"/>
      <c r="W21" s="401">
        <v>72866.036185076417</v>
      </c>
      <c r="X21" s="401">
        <v>1196.8699999999999</v>
      </c>
      <c r="Y21" s="41">
        <f t="shared" ref="Y21:Y37" si="8">SUM(V21:X21)</f>
        <v>74062.906185076412</v>
      </c>
      <c r="AB21" s="31"/>
    </row>
    <row r="22" spans="1:28" ht="13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v>41473.299929930385</v>
      </c>
      <c r="K22" s="401">
        <v>15662.055395706895</v>
      </c>
      <c r="L22" s="401">
        <v>1070.5500000000002</v>
      </c>
      <c r="M22" s="41">
        <f t="shared" si="6"/>
        <v>58205.905325637286</v>
      </c>
      <c r="N22" s="402">
        <v>35043.236894275418</v>
      </c>
      <c r="O22" s="401">
        <v>7831.0276978534475</v>
      </c>
      <c r="P22" s="401">
        <v>1070.5500000000002</v>
      </c>
      <c r="Q22" s="41">
        <f t="shared" si="3"/>
        <v>43944.814592128867</v>
      </c>
      <c r="R22" s="113"/>
      <c r="S22" s="401">
        <v>3870.6678530329991</v>
      </c>
      <c r="T22" s="401">
        <v>1196.8699999999999</v>
      </c>
      <c r="U22" s="41">
        <f t="shared" si="7"/>
        <v>5067.537853032999</v>
      </c>
      <c r="V22" s="113"/>
      <c r="W22" s="401">
        <v>72866.036185076417</v>
      </c>
      <c r="X22" s="401">
        <v>1196.8699999999999</v>
      </c>
      <c r="Y22" s="41">
        <f t="shared" si="8"/>
        <v>74062.906185076412</v>
      </c>
    </row>
    <row r="23" spans="1:28" ht="13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v>41473.299929930385</v>
      </c>
      <c r="K23" s="401">
        <v>19577.569244633622</v>
      </c>
      <c r="L23" s="401">
        <v>1070.5500000000002</v>
      </c>
      <c r="M23" s="41">
        <f t="shared" si="6"/>
        <v>62121.419174564013</v>
      </c>
      <c r="N23" s="402">
        <v>42483.131655923069</v>
      </c>
      <c r="O23" s="401">
        <v>7831.0276978534475</v>
      </c>
      <c r="P23" s="401">
        <v>1070.5500000000002</v>
      </c>
      <c r="Q23" s="41">
        <f t="shared" si="3"/>
        <v>51384.709353776518</v>
      </c>
      <c r="R23" s="113"/>
      <c r="S23" s="401">
        <v>3870.6678530329991</v>
      </c>
      <c r="T23" s="401">
        <v>1196.8699999999999</v>
      </c>
      <c r="U23" s="41">
        <f t="shared" si="7"/>
        <v>5067.537853032999</v>
      </c>
      <c r="V23" s="113"/>
      <c r="W23" s="401">
        <v>72866.036185076417</v>
      </c>
      <c r="X23" s="401">
        <v>1196.8699999999999</v>
      </c>
      <c r="Y23" s="41">
        <f t="shared" si="8"/>
        <v>74062.906185076412</v>
      </c>
    </row>
    <row r="24" spans="1:28" ht="13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v>48693.273430125228</v>
      </c>
      <c r="K24" s="401">
        <v>23493.083093560344</v>
      </c>
      <c r="L24" s="401">
        <v>1070.5500000000002</v>
      </c>
      <c r="M24" s="41">
        <f t="shared" si="6"/>
        <v>73256.906523685568</v>
      </c>
      <c r="N24" s="402">
        <v>42483.131655923069</v>
      </c>
      <c r="O24" s="401">
        <v>7831.0276978534475</v>
      </c>
      <c r="P24" s="401">
        <v>1070.5500000000002</v>
      </c>
      <c r="Q24" s="41">
        <f t="shared" si="3"/>
        <v>51384.709353776518</v>
      </c>
      <c r="R24" s="113"/>
      <c r="S24" s="401">
        <v>3870.6678530329991</v>
      </c>
      <c r="T24" s="401">
        <v>1196.8699999999999</v>
      </c>
      <c r="U24" s="41">
        <f t="shared" si="7"/>
        <v>5067.537853032999</v>
      </c>
      <c r="V24" s="113"/>
      <c r="W24" s="401">
        <v>72866.036185076417</v>
      </c>
      <c r="X24" s="401">
        <v>1196.8699999999999</v>
      </c>
      <c r="Y24" s="41">
        <f t="shared" si="8"/>
        <v>74062.906185076412</v>
      </c>
    </row>
    <row r="25" spans="1:28" ht="13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v>48693.273430125228</v>
      </c>
      <c r="K25" s="401">
        <v>35239.624640340517</v>
      </c>
      <c r="L25" s="401">
        <v>1070.5500000000002</v>
      </c>
      <c r="M25" s="41">
        <f t="shared" si="6"/>
        <v>85003.448070465747</v>
      </c>
      <c r="N25" s="402">
        <v>49082.698175132624</v>
      </c>
      <c r="O25" s="401">
        <v>11746.541546780172</v>
      </c>
      <c r="P25" s="401">
        <v>1070.5500000000002</v>
      </c>
      <c r="Q25" s="41">
        <f t="shared" si="3"/>
        <v>61899.789721912799</v>
      </c>
      <c r="R25" s="113"/>
      <c r="S25" s="401">
        <v>3870.6678530329991</v>
      </c>
      <c r="T25" s="401">
        <v>1196.8699999999999</v>
      </c>
      <c r="U25" s="41">
        <f t="shared" si="7"/>
        <v>5067.537853032999</v>
      </c>
      <c r="V25" s="113"/>
      <c r="W25" s="401">
        <v>72866.036185076417</v>
      </c>
      <c r="X25" s="401">
        <v>1196.8699999999999</v>
      </c>
      <c r="Y25" s="41">
        <f t="shared" si="8"/>
        <v>74062.906185076412</v>
      </c>
    </row>
    <row r="26" spans="1:28" ht="13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v>48693.273430125228</v>
      </c>
      <c r="K26" s="401">
        <v>46986.166187120689</v>
      </c>
      <c r="L26" s="401">
        <v>1070.5500000000002</v>
      </c>
      <c r="M26" s="41">
        <f t="shared" si="6"/>
        <v>96749.989617245927</v>
      </c>
      <c r="N26" s="402">
        <v>49082.698175132624</v>
      </c>
      <c r="O26" s="401">
        <v>15662.055395706895</v>
      </c>
      <c r="P26" s="401">
        <v>1070.5500000000002</v>
      </c>
      <c r="Q26" s="41">
        <f t="shared" si="3"/>
        <v>65815.303570839518</v>
      </c>
      <c r="R26" s="113"/>
      <c r="S26" s="401">
        <v>3870.6678530329991</v>
      </c>
      <c r="T26" s="401">
        <v>1196.8699999999999</v>
      </c>
      <c r="U26" s="41">
        <f t="shared" si="7"/>
        <v>5067.537853032999</v>
      </c>
      <c r="V26" s="113"/>
      <c r="W26" s="401">
        <v>72866.036185076417</v>
      </c>
      <c r="X26" s="401">
        <v>1196.8699999999999</v>
      </c>
      <c r="Y26" s="41">
        <f t="shared" si="8"/>
        <v>74062.906185076412</v>
      </c>
    </row>
    <row r="27" spans="1:28" ht="13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2">
        <v>48693.273430125228</v>
      </c>
      <c r="K27" s="401">
        <v>46986.166187120689</v>
      </c>
      <c r="L27" s="401">
        <v>1070.5500000000002</v>
      </c>
      <c r="M27" s="41">
        <f t="shared" si="6"/>
        <v>96749.989617245927</v>
      </c>
      <c r="N27" s="402">
        <v>49082.698175132624</v>
      </c>
      <c r="O27" s="401">
        <v>19577.569244633622</v>
      </c>
      <c r="P27" s="401">
        <v>1070.5500000000002</v>
      </c>
      <c r="Q27" s="41">
        <f t="shared" si="3"/>
        <v>69730.817419766245</v>
      </c>
      <c r="R27" s="113"/>
      <c r="S27" s="401">
        <v>3870.6678530329991</v>
      </c>
      <c r="T27" s="401">
        <v>1196.8699999999999</v>
      </c>
      <c r="U27" s="41">
        <f t="shared" si="7"/>
        <v>5067.537853032999</v>
      </c>
      <c r="V27" s="113"/>
      <c r="W27" s="401">
        <v>72866.036185076417</v>
      </c>
      <c r="X27" s="401">
        <v>1196.8699999999999</v>
      </c>
      <c r="Y27" s="41">
        <f t="shared" si="8"/>
        <v>74062.906185076412</v>
      </c>
    </row>
    <row r="28" spans="1:28" ht="13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2">
        <v>48693.273430125228</v>
      </c>
      <c r="K28" s="401">
        <v>46986.166187120689</v>
      </c>
      <c r="L28" s="401">
        <v>1070.5500000000002</v>
      </c>
      <c r="M28" s="41">
        <f t="shared" si="6"/>
        <v>96749.989617245927</v>
      </c>
      <c r="N28" s="402">
        <v>62400.892927889297</v>
      </c>
      <c r="O28" s="401">
        <v>31324.11079141379</v>
      </c>
      <c r="P28" s="401">
        <v>1070.5500000000002</v>
      </c>
      <c r="Q28" s="41">
        <f t="shared" si="3"/>
        <v>94795.55371930309</v>
      </c>
      <c r="R28" s="113"/>
      <c r="S28" s="401">
        <v>3870.6678530329991</v>
      </c>
      <c r="T28" s="401">
        <v>1196.8699999999999</v>
      </c>
      <c r="U28" s="41">
        <f t="shared" si="7"/>
        <v>5067.537853032999</v>
      </c>
      <c r="V28" s="113"/>
      <c r="W28" s="401">
        <v>72866.036185076417</v>
      </c>
      <c r="X28" s="401">
        <v>1196.8699999999999</v>
      </c>
      <c r="Y28" s="41">
        <f t="shared" si="8"/>
        <v>74062.906185076412</v>
      </c>
    </row>
    <row r="29" spans="1:28" ht="13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402"/>
      <c r="K29" s="98"/>
      <c r="L29" s="98"/>
      <c r="M29" s="41"/>
      <c r="N29" s="402">
        <v>68150.567841889278</v>
      </c>
      <c r="O29" s="401">
        <v>39155.138489267243</v>
      </c>
      <c r="P29" s="401">
        <v>1070.5500000000002</v>
      </c>
      <c r="Q29" s="41">
        <f t="shared" si="3"/>
        <v>108376.25633115652</v>
      </c>
      <c r="R29" s="113"/>
      <c r="S29" s="401">
        <v>3870.6678530329991</v>
      </c>
      <c r="T29" s="401">
        <v>1196.8699999999999</v>
      </c>
      <c r="U29" s="41">
        <f t="shared" si="7"/>
        <v>5067.537853032999</v>
      </c>
      <c r="V29" s="113"/>
      <c r="W29" s="401">
        <v>72866.036185076417</v>
      </c>
      <c r="X29" s="401">
        <v>1196.8699999999999</v>
      </c>
      <c r="Y29" s="41">
        <f t="shared" si="8"/>
        <v>74062.906185076412</v>
      </c>
    </row>
    <row r="30" spans="1:28" ht="13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402"/>
      <c r="K30" s="98"/>
      <c r="L30" s="98"/>
      <c r="M30" s="41"/>
      <c r="N30" s="402">
        <v>68150.567841889278</v>
      </c>
      <c r="O30" s="401">
        <v>46986.166187120689</v>
      </c>
      <c r="P30" s="401">
        <v>1070.5500000000002</v>
      </c>
      <c r="Q30" s="41">
        <f t="shared" si="3"/>
        <v>116207.28402900997</v>
      </c>
      <c r="R30" s="113"/>
      <c r="S30" s="401">
        <v>3870.6678530329991</v>
      </c>
      <c r="T30" s="401">
        <v>1196.8699999999999</v>
      </c>
      <c r="U30" s="41">
        <f t="shared" si="7"/>
        <v>5067.537853032999</v>
      </c>
      <c r="V30" s="113"/>
      <c r="W30" s="401">
        <v>72866.036185076417</v>
      </c>
      <c r="X30" s="401">
        <v>1196.8699999999999</v>
      </c>
      <c r="Y30" s="41">
        <f t="shared" si="8"/>
        <v>74062.906185076412</v>
      </c>
    </row>
    <row r="31" spans="1:28" ht="13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98"/>
      <c r="L31" s="98"/>
      <c r="M31" s="41"/>
      <c r="N31" s="402">
        <v>68150.567841889278</v>
      </c>
      <c r="O31" s="401">
        <v>46986.166187120689</v>
      </c>
      <c r="P31" s="401">
        <v>1070.5500000000002</v>
      </c>
      <c r="Q31" s="41">
        <f t="shared" si="3"/>
        <v>116207.28402900997</v>
      </c>
      <c r="R31" s="113"/>
      <c r="S31" s="401">
        <v>9612.4995222080215</v>
      </c>
      <c r="T31" s="401">
        <v>1196.8699999999999</v>
      </c>
      <c r="U31" s="41">
        <f t="shared" si="7"/>
        <v>10809.36952220802</v>
      </c>
      <c r="V31" s="113"/>
      <c r="W31" s="401">
        <v>180957.07630025572</v>
      </c>
      <c r="X31" s="401">
        <v>1196.8699999999999</v>
      </c>
      <c r="Y31" s="41">
        <f t="shared" si="8"/>
        <v>182153.94630025572</v>
      </c>
    </row>
    <row r="32" spans="1:28" ht="13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98"/>
      <c r="L32" s="98"/>
      <c r="M32" s="41"/>
      <c r="N32" s="402">
        <v>68150.567841889278</v>
      </c>
      <c r="O32" s="401">
        <v>46986.166187120689</v>
      </c>
      <c r="P32" s="401">
        <v>1070.5500000000002</v>
      </c>
      <c r="Q32" s="41">
        <f t="shared" si="3"/>
        <v>116207.28402900997</v>
      </c>
      <c r="R32" s="113"/>
      <c r="S32" s="401">
        <v>9612.4995222080215</v>
      </c>
      <c r="T32" s="401">
        <v>1196.8699999999999</v>
      </c>
      <c r="U32" s="41">
        <f t="shared" si="7"/>
        <v>10809.36952220802</v>
      </c>
      <c r="V32" s="113"/>
      <c r="W32" s="401">
        <v>180957.07630025572</v>
      </c>
      <c r="X32" s="401">
        <v>1196.8699999999999</v>
      </c>
      <c r="Y32" s="41">
        <f t="shared" si="8"/>
        <v>182153.94630025572</v>
      </c>
      <c r="AB32" s="31"/>
    </row>
    <row r="33" spans="1:25" ht="13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98"/>
      <c r="L33" s="98"/>
      <c r="M33" s="41"/>
      <c r="N33" s="402">
        <v>68150.567841889278</v>
      </c>
      <c r="O33" s="401">
        <v>46986.166187120689</v>
      </c>
      <c r="P33" s="401">
        <v>1070.5500000000002</v>
      </c>
      <c r="Q33" s="41">
        <f t="shared" si="3"/>
        <v>116207.28402900997</v>
      </c>
      <c r="R33" s="113"/>
      <c r="S33" s="401">
        <v>9612.4995222080215</v>
      </c>
      <c r="T33" s="401">
        <v>1196.8699999999999</v>
      </c>
      <c r="U33" s="41">
        <f t="shared" si="7"/>
        <v>10809.36952220802</v>
      </c>
      <c r="V33" s="113"/>
      <c r="W33" s="401">
        <v>180957.07630025572</v>
      </c>
      <c r="X33" s="401">
        <v>1196.8699999999999</v>
      </c>
      <c r="Y33" s="41">
        <f t="shared" si="8"/>
        <v>182153.94630025572</v>
      </c>
    </row>
    <row r="34" spans="1:25" ht="13">
      <c r="A34" s="124" t="s">
        <v>106</v>
      </c>
      <c r="B34" s="113"/>
      <c r="C34" s="98"/>
      <c r="D34" s="98"/>
      <c r="E34" s="41"/>
      <c r="F34" s="113"/>
      <c r="G34" s="98"/>
      <c r="H34" s="98"/>
      <c r="I34" s="41"/>
      <c r="J34" s="109"/>
      <c r="K34" s="23"/>
      <c r="L34" s="23"/>
      <c r="M34" s="41"/>
      <c r="N34" s="402">
        <v>68150.567841889278</v>
      </c>
      <c r="O34" s="401">
        <v>46986.166187120689</v>
      </c>
      <c r="P34" s="401">
        <v>1070.5500000000002</v>
      </c>
      <c r="Q34" s="41">
        <f t="shared" si="3"/>
        <v>116207.28402900997</v>
      </c>
      <c r="R34" s="113"/>
      <c r="S34" s="401">
        <v>9612.4995222080215</v>
      </c>
      <c r="T34" s="401">
        <v>1196.8699999999999</v>
      </c>
      <c r="U34" s="41">
        <f t="shared" si="7"/>
        <v>10809.36952220802</v>
      </c>
      <c r="V34" s="113"/>
      <c r="W34" s="401">
        <v>180957.07630025572</v>
      </c>
      <c r="X34" s="401">
        <v>1196.8699999999999</v>
      </c>
      <c r="Y34" s="41">
        <f t="shared" si="8"/>
        <v>182153.94630025572</v>
      </c>
    </row>
    <row r="35" spans="1:25" ht="13">
      <c r="A35" s="124" t="s">
        <v>107</v>
      </c>
      <c r="B35" s="113"/>
      <c r="C35" s="98"/>
      <c r="D35" s="23"/>
      <c r="E35" s="41"/>
      <c r="F35" s="113"/>
      <c r="G35" s="98"/>
      <c r="H35" s="98"/>
      <c r="I35" s="41"/>
      <c r="J35" s="109"/>
      <c r="K35" s="23"/>
      <c r="L35" s="23"/>
      <c r="M35" s="41"/>
      <c r="N35" s="402"/>
      <c r="O35" s="98"/>
      <c r="P35" s="23"/>
      <c r="Q35" s="14"/>
      <c r="R35" s="113"/>
      <c r="S35" s="401">
        <v>9612.4995222080215</v>
      </c>
      <c r="T35" s="401">
        <v>1196.8699999999999</v>
      </c>
      <c r="U35" s="41">
        <f t="shared" si="7"/>
        <v>10809.36952220802</v>
      </c>
      <c r="V35" s="113"/>
      <c r="W35" s="401">
        <v>180957.07630025572</v>
      </c>
      <c r="X35" s="401">
        <v>1196.8699999999999</v>
      </c>
      <c r="Y35" s="41">
        <f t="shared" si="8"/>
        <v>182153.94630025572</v>
      </c>
    </row>
    <row r="36" spans="1:25" ht="13">
      <c r="A36" s="124" t="s">
        <v>26</v>
      </c>
      <c r="B36" s="113"/>
      <c r="C36" s="98"/>
      <c r="D36" s="23"/>
      <c r="E36" s="41"/>
      <c r="F36" s="113"/>
      <c r="G36" s="98"/>
      <c r="H36" s="98"/>
      <c r="I36" s="41"/>
      <c r="J36" s="109"/>
      <c r="K36" s="23"/>
      <c r="L36" s="23"/>
      <c r="M36" s="41"/>
      <c r="N36" s="402"/>
      <c r="O36" s="98"/>
      <c r="P36" s="23"/>
      <c r="Q36" s="14"/>
      <c r="R36" s="113"/>
      <c r="S36" s="401">
        <v>9612.4995222080215</v>
      </c>
      <c r="T36" s="401">
        <v>1196.8699999999999</v>
      </c>
      <c r="U36" s="41">
        <f t="shared" si="7"/>
        <v>10809.36952220802</v>
      </c>
      <c r="V36" s="113"/>
      <c r="W36" s="401">
        <v>180957.07630025572</v>
      </c>
      <c r="X36" s="401">
        <v>1196.8699999999999</v>
      </c>
      <c r="Y36" s="41">
        <f t="shared" si="8"/>
        <v>182153.94630025572</v>
      </c>
    </row>
    <row r="37" spans="1:25" ht="13">
      <c r="A37" s="124" t="s">
        <v>27</v>
      </c>
      <c r="B37" s="113"/>
      <c r="C37" s="98"/>
      <c r="D37" s="13"/>
      <c r="E37" s="14"/>
      <c r="F37" s="113"/>
      <c r="G37" s="98"/>
      <c r="H37" s="98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1">
        <v>9612.4995222080215</v>
      </c>
      <c r="T37" s="401">
        <v>1196.8699999999999</v>
      </c>
      <c r="U37" s="41">
        <f t="shared" si="7"/>
        <v>10809.36952220802</v>
      </c>
      <c r="V37" s="113"/>
      <c r="W37" s="401">
        <v>180957.07630025572</v>
      </c>
      <c r="X37" s="401">
        <v>1196.8699999999999</v>
      </c>
      <c r="Y37" s="41">
        <f t="shared" si="8"/>
        <v>182153.94630025572</v>
      </c>
    </row>
    <row r="38" spans="1:25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  <c r="V38" s="202"/>
      <c r="W38" s="203"/>
      <c r="X38" s="28"/>
      <c r="Y38" s="80"/>
    </row>
    <row r="39" spans="1:25" ht="13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414"/>
    </row>
    <row r="40" spans="1:25" ht="13">
      <c r="A40" s="29" t="s">
        <v>327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 ht="13">
      <c r="A41" s="29"/>
      <c r="B41" s="433" t="s">
        <v>317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2"/>
      <c r="W41" s="181"/>
      <c r="X41" s="181"/>
      <c r="Y41" s="434"/>
    </row>
    <row r="42" spans="1:25" ht="13" thickBot="1">
      <c r="A42" s="15"/>
      <c r="B42" s="432" t="s">
        <v>270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2"/>
      <c r="V42" s="28"/>
      <c r="W42" s="422"/>
      <c r="X42" s="422"/>
      <c r="Y42" s="425"/>
    </row>
    <row r="43" spans="1:25"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W43" s="393"/>
      <c r="X43" s="393"/>
      <c r="Y43" s="393"/>
    </row>
    <row r="44" spans="1:25"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W44" s="393"/>
      <c r="X44" s="393"/>
      <c r="Y44" s="393"/>
    </row>
    <row r="45" spans="1:25">
      <c r="B45" s="393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W45" s="393"/>
      <c r="X45" s="393"/>
      <c r="Y45" s="393"/>
    </row>
    <row r="46" spans="1:2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W46" s="393"/>
      <c r="X46" s="393"/>
      <c r="Y46" s="393"/>
    </row>
    <row r="47" spans="1:25" ht="15.5">
      <c r="B47" s="393"/>
      <c r="C47" s="393"/>
      <c r="D47" s="40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W47" s="393"/>
      <c r="X47" s="393"/>
      <c r="Y47" s="393"/>
    </row>
    <row r="48" spans="1:25">
      <c r="B48" s="393"/>
      <c r="C48" s="393"/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W48" s="393"/>
      <c r="X48" s="393"/>
      <c r="Y48" s="393"/>
    </row>
    <row r="49" spans="2:25"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W49" s="393"/>
      <c r="X49" s="393"/>
      <c r="Y49" s="393"/>
    </row>
    <row r="50" spans="2:25">
      <c r="E50" s="392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W50" s="393"/>
      <c r="X50" s="393"/>
      <c r="Y50" s="393"/>
    </row>
    <row r="51" spans="2:25"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W51" s="393"/>
      <c r="X51" s="393"/>
      <c r="Y51" s="393"/>
    </row>
    <row r="52" spans="2:25">
      <c r="I52" s="392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W52" s="393"/>
      <c r="X52" s="393"/>
      <c r="Y52" s="393"/>
    </row>
    <row r="53" spans="2:25">
      <c r="I53" s="392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W53" s="393"/>
      <c r="X53" s="393"/>
      <c r="Y53" s="393"/>
    </row>
    <row r="54" spans="2:25">
      <c r="I54" s="392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W54" s="393"/>
      <c r="X54" s="393"/>
      <c r="Y54" s="393"/>
    </row>
    <row r="55" spans="2:25">
      <c r="I55" s="392"/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W55" s="393"/>
      <c r="X55" s="393"/>
      <c r="Y55" s="393"/>
    </row>
    <row r="56" spans="2:25">
      <c r="I56" s="392"/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  <c r="W56" s="393"/>
      <c r="X56" s="393"/>
      <c r="Y56" s="393"/>
    </row>
    <row r="57" spans="2:25">
      <c r="I57" s="392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W57" s="393"/>
      <c r="X57" s="393"/>
      <c r="Y57" s="393"/>
    </row>
    <row r="58" spans="2:25">
      <c r="I58" s="392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W58" s="393"/>
      <c r="X58" s="393"/>
      <c r="Y58" s="393"/>
    </row>
    <row r="59" spans="2:25">
      <c r="I59" s="392"/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W59" s="393"/>
      <c r="X59" s="393"/>
      <c r="Y59" s="393"/>
    </row>
    <row r="60" spans="2:25">
      <c r="I60" s="392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W60" s="393"/>
      <c r="X60" s="393"/>
      <c r="Y60" s="393"/>
    </row>
    <row r="61" spans="2:25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W61" s="393"/>
      <c r="X61" s="393"/>
      <c r="Y61" s="393"/>
    </row>
    <row r="62" spans="2:25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  <c r="W62" s="393"/>
      <c r="X62" s="393"/>
      <c r="Y62" s="393"/>
    </row>
    <row r="63" spans="2:25">
      <c r="M63" s="392"/>
      <c r="N63" s="393"/>
      <c r="O63" s="393"/>
      <c r="P63" s="393"/>
      <c r="Q63" s="393"/>
      <c r="R63" s="393"/>
      <c r="S63" s="393"/>
      <c r="T63" s="393"/>
      <c r="U63" s="393"/>
      <c r="W63" s="393"/>
      <c r="X63" s="393"/>
      <c r="Y63" s="393"/>
    </row>
    <row r="64" spans="2:25">
      <c r="M64" s="392"/>
      <c r="Q64" s="392"/>
      <c r="R64" s="393"/>
      <c r="S64" s="393"/>
      <c r="T64" s="393"/>
      <c r="U64" s="393"/>
      <c r="W64" s="393"/>
      <c r="X64" s="393"/>
      <c r="Y64" s="393"/>
    </row>
    <row r="65" spans="17:25">
      <c r="Q65" s="392"/>
      <c r="R65" s="393"/>
      <c r="S65" s="393"/>
      <c r="T65" s="393"/>
      <c r="U65" s="393"/>
      <c r="W65" s="393"/>
      <c r="X65" s="393"/>
      <c r="Y65" s="393"/>
    </row>
    <row r="66" spans="17:25">
      <c r="Q66" s="392"/>
      <c r="R66" s="393"/>
      <c r="S66" s="393"/>
      <c r="T66" s="393"/>
      <c r="U66" s="393"/>
      <c r="W66" s="393"/>
      <c r="X66" s="393"/>
      <c r="Y66" s="393"/>
    </row>
    <row r="67" spans="17:25">
      <c r="R67" s="393"/>
      <c r="S67" s="393"/>
      <c r="T67" s="393"/>
      <c r="U67" s="393"/>
      <c r="W67" s="393"/>
      <c r="X67" s="393"/>
      <c r="Y67" s="393"/>
    </row>
    <row r="68" spans="17:25">
      <c r="R68" s="393"/>
      <c r="S68" s="393"/>
      <c r="T68" s="393"/>
      <c r="U68" s="393"/>
      <c r="W68" s="393"/>
      <c r="X68" s="393"/>
      <c r="Y68" s="393"/>
    </row>
    <row r="69" spans="17:25">
      <c r="R69" s="393"/>
      <c r="S69" s="393"/>
      <c r="T69" s="393"/>
      <c r="U69" s="393"/>
      <c r="W69" s="393"/>
      <c r="X69" s="393"/>
      <c r="Y69" s="393"/>
    </row>
    <row r="70" spans="17:25">
      <c r="R70" s="393"/>
      <c r="S70" s="393"/>
      <c r="T70" s="393"/>
      <c r="U70" s="393"/>
      <c r="W70" s="393"/>
      <c r="X70" s="393"/>
      <c r="Y70" s="393"/>
    </row>
    <row r="71" spans="17:25">
      <c r="R71" s="393"/>
      <c r="S71" s="393"/>
      <c r="T71" s="393"/>
      <c r="U71" s="393"/>
      <c r="W71" s="393"/>
      <c r="X71" s="393"/>
      <c r="Y71" s="393"/>
    </row>
    <row r="72" spans="17:25">
      <c r="U72" s="392"/>
    </row>
    <row r="73" spans="17:25">
      <c r="U73" s="392"/>
    </row>
  </sheetData>
  <mergeCells count="10">
    <mergeCell ref="A1:Y1"/>
    <mergeCell ref="B2:Q2"/>
    <mergeCell ref="R2:U2"/>
    <mergeCell ref="V2:Y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5">
    <tabColor rgb="FF333333"/>
  </sheetPr>
  <dimension ref="A1:AB73"/>
  <sheetViews>
    <sheetView topLeftCell="A11" zoomScaleNormal="100" workbookViewId="0">
      <pane xSplit="1" topLeftCell="K1" activePane="topRight" state="frozen"/>
      <selection activeCell="D15" sqref="D15"/>
      <selection pane="topRight" activeCell="X7" sqref="X7:X37"/>
    </sheetView>
  </sheetViews>
  <sheetFormatPr defaultRowHeight="12.5"/>
  <cols>
    <col min="1" max="1" width="27" customWidth="1"/>
    <col min="2" max="17" width="12.7265625" customWidth="1"/>
    <col min="18" max="18" width="12.81640625" bestFit="1" customWidth="1"/>
    <col min="22" max="22" width="12.81640625" bestFit="1" customWidth="1"/>
    <col min="23" max="23" width="11.26953125" bestFit="1" customWidth="1"/>
    <col min="24" max="24" width="7.26953125" bestFit="1" customWidth="1"/>
    <col min="25" max="25" width="8.7265625" bestFit="1" customWidth="1"/>
    <col min="28" max="28" width="11.26953125" bestFit="1" customWidth="1"/>
  </cols>
  <sheetData>
    <row r="1" spans="1:28" ht="18.5" thickBot="1">
      <c r="A1" s="758" t="s">
        <v>195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35"/>
      <c r="X1" s="735"/>
      <c r="Y1" s="735"/>
    </row>
    <row r="2" spans="1:28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  <c r="V2" s="745"/>
      <c r="W2" s="739"/>
      <c r="X2" s="739"/>
      <c r="Y2" s="740"/>
    </row>
    <row r="3" spans="1:28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  <c r="V3" s="747" t="s">
        <v>84</v>
      </c>
      <c r="W3" s="748"/>
      <c r="X3" s="748"/>
      <c r="Y3" s="749"/>
    </row>
    <row r="4" spans="1:28" ht="13.5" thickBot="1">
      <c r="A4" s="77" t="s">
        <v>4</v>
      </c>
      <c r="B4" s="2" t="s">
        <v>36</v>
      </c>
      <c r="C4" s="3" t="s">
        <v>37</v>
      </c>
      <c r="D4" s="3" t="s">
        <v>38</v>
      </c>
      <c r="E4" s="4" t="s">
        <v>2</v>
      </c>
      <c r="F4" s="2" t="s">
        <v>36</v>
      </c>
      <c r="G4" s="3" t="s">
        <v>37</v>
      </c>
      <c r="H4" s="3" t="s">
        <v>38</v>
      </c>
      <c r="I4" s="4" t="s">
        <v>2</v>
      </c>
      <c r="J4" s="2" t="s">
        <v>36</v>
      </c>
      <c r="K4" s="3" t="s">
        <v>37</v>
      </c>
      <c r="L4" s="3" t="s">
        <v>38</v>
      </c>
      <c r="M4" s="4" t="s">
        <v>2</v>
      </c>
      <c r="N4" s="2" t="s">
        <v>36</v>
      </c>
      <c r="O4" s="3" t="s">
        <v>37</v>
      </c>
      <c r="P4" s="3" t="s">
        <v>38</v>
      </c>
      <c r="Q4" s="4" t="s">
        <v>2</v>
      </c>
      <c r="R4" s="221" t="s">
        <v>36</v>
      </c>
      <c r="S4" s="222" t="s">
        <v>37</v>
      </c>
      <c r="T4" s="222" t="s">
        <v>38</v>
      </c>
      <c r="U4" s="4" t="s">
        <v>2</v>
      </c>
      <c r="V4" s="328" t="s">
        <v>36</v>
      </c>
      <c r="W4" s="329" t="s">
        <v>37</v>
      </c>
      <c r="X4" s="329" t="s">
        <v>38</v>
      </c>
      <c r="Y4" s="330" t="s">
        <v>2</v>
      </c>
    </row>
    <row r="5" spans="1:28" ht="13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 ht="13">
      <c r="A7" s="124" t="s">
        <v>5</v>
      </c>
      <c r="B7" s="402">
        <f>'Non-Residential TSM UC'!B7*(Inputs!$C$21)</f>
        <v>291.03048556553597</v>
      </c>
      <c r="C7" s="401">
        <f>'Non-Residential TSM UC'!C7*(Inputs!$C$21)</f>
        <v>112.16712195266035</v>
      </c>
      <c r="D7" s="401">
        <f>'Non-Residential TSM UC'!D7*(Inputs!$C$21)</f>
        <v>234.29973156037588</v>
      </c>
      <c r="E7" s="41">
        <f>SUM(B7:D7)</f>
        <v>637.49733907857217</v>
      </c>
      <c r="F7" s="402">
        <f>'Non-Residential TSM UC'!F7*(Inputs!$C$21)</f>
        <v>336.13644267607185</v>
      </c>
      <c r="G7" s="401">
        <f>'Non-Residential TSM UC'!G7*(Inputs!$C$21)</f>
        <v>609.82032510065369</v>
      </c>
      <c r="H7" s="401">
        <f>'Non-Residential TSM UC'!H7*(Inputs!$C$21)</f>
        <v>301.76349896014176</v>
      </c>
      <c r="I7" s="41">
        <f>SUM(F7:H7)</f>
        <v>1247.7202667368674</v>
      </c>
      <c r="J7" s="402">
        <f>'Non-Residential TSM UC'!J7*(Inputs!$C$21)</f>
        <v>353.435592370667</v>
      </c>
      <c r="K7" s="401">
        <f>'Non-Residential TSM UC'!K7*(Inputs!$C$21)</f>
        <v>609.82032510065369</v>
      </c>
      <c r="L7" s="401">
        <f>'Non-Residential TSM UC'!L7*(Inputs!$C$21)</f>
        <v>301.76349896014176</v>
      </c>
      <c r="M7" s="41">
        <f>SUM(J7:L7)</f>
        <v>1265.0194164314626</v>
      </c>
      <c r="N7" s="402">
        <f>'Non-Residential TSM UC'!N7*(Inputs!$C$21)</f>
        <v>416.91391779598956</v>
      </c>
      <c r="O7" s="401">
        <f>'Non-Residential TSM UC'!O7*(Inputs!$C$21)</f>
        <v>609.82032510065369</v>
      </c>
      <c r="P7" s="401">
        <f>'Non-Residential TSM UC'!P7*(Inputs!$C$21)</f>
        <v>301.76349896014176</v>
      </c>
      <c r="Q7" s="41">
        <f>SUM(N7:P7)</f>
        <v>1328.4977418567851</v>
      </c>
      <c r="R7" s="113"/>
      <c r="S7" s="401">
        <f>'Non-Residential TSM UC'!S7*(Inputs!$C$21)</f>
        <v>3129.9273129422195</v>
      </c>
      <c r="T7" s="401">
        <f>'Non-Residential TSM UC'!T7*(Inputs!$C$21)</f>
        <v>865.67585029149416</v>
      </c>
      <c r="U7" s="41">
        <f>SUM(R7:T7)</f>
        <v>3995.6031632337135</v>
      </c>
      <c r="V7" s="113"/>
      <c r="W7" s="401">
        <f>'Non-Residential TSM UC'!W7*(Inputs!$C$21)</f>
        <v>58921.458906063985</v>
      </c>
      <c r="X7" s="401">
        <f>'Non-Residential TSM UC'!X7*(Inputs!$C$21)</f>
        <v>967.82163835260417</v>
      </c>
      <c r="Y7" s="41">
        <f>SUM(V7:X7)</f>
        <v>59889.280544416586</v>
      </c>
      <c r="AB7" s="31"/>
    </row>
    <row r="8" spans="1:28" ht="13">
      <c r="A8" s="124" t="s">
        <v>6</v>
      </c>
      <c r="B8" s="402">
        <f>'Non-Residential TSM UC'!B8*(Inputs!$C$21)</f>
        <v>873.09145669660791</v>
      </c>
      <c r="C8" s="401">
        <f>'Non-Residential TSM UC'!C8*(Inputs!$C$21)</f>
        <v>112.16712195266035</v>
      </c>
      <c r="D8" s="401">
        <f>'Non-Residential TSM UC'!D8*(Inputs!$C$21)</f>
        <v>234.29973156037588</v>
      </c>
      <c r="E8" s="41">
        <f t="shared" ref="E8:E16" si="0">SUM(B8:D8)</f>
        <v>1219.5583102096441</v>
      </c>
      <c r="F8" s="402">
        <f>'Non-Residential TSM UC'!F8*(Inputs!$C$21)</f>
        <v>1008.4093280282156</v>
      </c>
      <c r="G8" s="401">
        <f>'Non-Residential TSM UC'!G8*(Inputs!$C$21)</f>
        <v>609.82032510065369</v>
      </c>
      <c r="H8" s="401">
        <f>'Non-Residential TSM UC'!H8*(Inputs!$C$21)</f>
        <v>301.76349896014176</v>
      </c>
      <c r="I8" s="41">
        <f t="shared" ref="I8:I17" si="1">SUM(F8:H8)</f>
        <v>1919.9931520890111</v>
      </c>
      <c r="J8" s="402">
        <f>'Non-Residential TSM UC'!J8*(Inputs!$C$21)</f>
        <v>1060.3067771120011</v>
      </c>
      <c r="K8" s="401">
        <f>'Non-Residential TSM UC'!K8*(Inputs!$C$21)</f>
        <v>609.82032510065369</v>
      </c>
      <c r="L8" s="401">
        <f>'Non-Residential TSM UC'!L8*(Inputs!$C$21)</f>
        <v>301.76349896014176</v>
      </c>
      <c r="M8" s="41">
        <f t="shared" ref="M8:M19" si="2">SUM(J8:L8)</f>
        <v>1971.8906011727966</v>
      </c>
      <c r="N8" s="402">
        <f>'Non-Residential TSM UC'!N8*(Inputs!$C$21)</f>
        <v>1250.7417533879686</v>
      </c>
      <c r="O8" s="401">
        <f>'Non-Residential TSM UC'!O8*(Inputs!$C$21)</f>
        <v>609.82032510065369</v>
      </c>
      <c r="P8" s="401">
        <f>'Non-Residential TSM UC'!P8*(Inputs!$C$21)</f>
        <v>301.76349896014176</v>
      </c>
      <c r="Q8" s="41">
        <f t="shared" ref="Q8:Q29" si="3">SUM(N8:P8)</f>
        <v>2162.3255774487643</v>
      </c>
      <c r="R8" s="113"/>
      <c r="S8" s="401">
        <f>'Non-Residential TSM UC'!S8*(Inputs!$C$21)</f>
        <v>3129.9273129422195</v>
      </c>
      <c r="T8" s="401">
        <f>'Non-Residential TSM UC'!T8*(Inputs!$C$21)</f>
        <v>865.67585029149416</v>
      </c>
      <c r="U8" s="41">
        <f t="shared" ref="U8:U19" si="4">SUM(R8:T8)</f>
        <v>3995.6031632337135</v>
      </c>
      <c r="V8" s="113"/>
      <c r="W8" s="401">
        <f>'Non-Residential TSM UC'!W8*(Inputs!$C$21)</f>
        <v>58921.458906063985</v>
      </c>
      <c r="X8" s="401">
        <f>'Non-Residential TSM UC'!X8*(Inputs!$C$21)</f>
        <v>967.82163835260417</v>
      </c>
      <c r="Y8" s="41">
        <f t="shared" ref="Y8:Y19" si="5">SUM(V8:X8)</f>
        <v>59889.280544416586</v>
      </c>
    </row>
    <row r="9" spans="1:28" ht="13">
      <c r="A9" s="124" t="s">
        <v>7</v>
      </c>
      <c r="B9" s="402">
        <f>'Non-Residential TSM UC'!B9*(Inputs!$C$21)</f>
        <v>873.09145669660791</v>
      </c>
      <c r="C9" s="401">
        <f>'Non-Residential TSM UC'!C9*(Inputs!$C$21)</f>
        <v>158.10464377145311</v>
      </c>
      <c r="D9" s="401">
        <f>'Non-Residential TSM UC'!D9*(Inputs!$C$21)</f>
        <v>234.29973156037588</v>
      </c>
      <c r="E9" s="41">
        <f t="shared" si="0"/>
        <v>1265.495832028437</v>
      </c>
      <c r="F9" s="402">
        <f>'Non-Residential TSM UC'!F9*(Inputs!$C$21)</f>
        <v>2016.8186560564311</v>
      </c>
      <c r="G9" s="401">
        <f>'Non-Residential TSM UC'!G9*(Inputs!$C$21)</f>
        <v>718.29191911453245</v>
      </c>
      <c r="H9" s="401">
        <f>'Non-Residential TSM UC'!H9*(Inputs!$C$21)</f>
        <v>301.76349896014176</v>
      </c>
      <c r="I9" s="41">
        <f t="shared" si="1"/>
        <v>3036.8740741311058</v>
      </c>
      <c r="J9" s="402">
        <f>'Non-Residential TSM UC'!J9*(Inputs!$C$21)</f>
        <v>2120.6135542240022</v>
      </c>
      <c r="K9" s="401">
        <f>'Non-Residential TSM UC'!K9*(Inputs!$C$21)</f>
        <v>718.29191911453245</v>
      </c>
      <c r="L9" s="401">
        <f>'Non-Residential TSM UC'!L9*(Inputs!$C$21)</f>
        <v>301.76349896014176</v>
      </c>
      <c r="M9" s="41">
        <f t="shared" si="2"/>
        <v>3140.6689722986766</v>
      </c>
      <c r="N9" s="402">
        <f>'Non-Residential TSM UC'!N9*(Inputs!$C$21)</f>
        <v>2501.4835067759373</v>
      </c>
      <c r="O9" s="401">
        <f>'Non-Residential TSM UC'!O9*(Inputs!$C$21)</f>
        <v>718.29191911453245</v>
      </c>
      <c r="P9" s="401">
        <f>'Non-Residential TSM UC'!P9*(Inputs!$C$21)</f>
        <v>301.76349896014176</v>
      </c>
      <c r="Q9" s="41">
        <f t="shared" si="3"/>
        <v>3521.5389248506117</v>
      </c>
      <c r="R9" s="113"/>
      <c r="S9" s="401">
        <f>'Non-Residential TSM UC'!S9*(Inputs!$C$21)</f>
        <v>3129.9273129422195</v>
      </c>
      <c r="T9" s="401">
        <f>'Non-Residential TSM UC'!T9*(Inputs!$C$21)</f>
        <v>865.67585029149416</v>
      </c>
      <c r="U9" s="41">
        <f t="shared" si="4"/>
        <v>3995.6031632337135</v>
      </c>
      <c r="V9" s="113"/>
      <c r="W9" s="401">
        <f>'Non-Residential TSM UC'!W9*(Inputs!$C$21)</f>
        <v>58921.458906063985</v>
      </c>
      <c r="X9" s="401">
        <f>'Non-Residential TSM UC'!X9*(Inputs!$C$21)</f>
        <v>967.82163835260417</v>
      </c>
      <c r="Y9" s="41">
        <f t="shared" si="5"/>
        <v>59889.280544416586</v>
      </c>
    </row>
    <row r="10" spans="1:28" ht="13">
      <c r="A10" s="124" t="s">
        <v>105</v>
      </c>
      <c r="B10" s="402">
        <f>'Non-Residential TSM UC'!B10*(Inputs!$C$21)</f>
        <v>2182.7286417415198</v>
      </c>
      <c r="C10" s="401">
        <f>'Non-Residential TSM UC'!C10*(Inputs!$C$21)</f>
        <v>172.82934577832256</v>
      </c>
      <c r="D10" s="401">
        <f>'Non-Residential TSM UC'!D10*(Inputs!$C$21)</f>
        <v>234.29973156037588</v>
      </c>
      <c r="E10" s="41">
        <f t="shared" si="0"/>
        <v>2589.857719080218</v>
      </c>
      <c r="F10" s="402">
        <f>'Non-Residential TSM UC'!F10*(Inputs!$C$21)</f>
        <v>4705.9101974650057</v>
      </c>
      <c r="G10" s="401">
        <f>'Non-Residential TSM UC'!G10*(Inputs!$C$21)</f>
        <v>718.29191911453245</v>
      </c>
      <c r="H10" s="401">
        <f>'Non-Residential TSM UC'!H10*(Inputs!$C$21)</f>
        <v>301.76349896014176</v>
      </c>
      <c r="I10" s="41">
        <f t="shared" si="1"/>
        <v>5725.9656155396797</v>
      </c>
      <c r="J10" s="402">
        <f>'Non-Residential TSM UC'!J10*(Inputs!$C$21)</f>
        <v>4948.0982931893386</v>
      </c>
      <c r="K10" s="401">
        <f>'Non-Residential TSM UC'!K10*(Inputs!$C$21)</f>
        <v>718.29191911453245</v>
      </c>
      <c r="L10" s="401">
        <f>'Non-Residential TSM UC'!L10*(Inputs!$C$21)</f>
        <v>301.76349896014176</v>
      </c>
      <c r="M10" s="41">
        <f t="shared" si="2"/>
        <v>5968.1537112640135</v>
      </c>
      <c r="N10" s="402">
        <f>'Non-Residential TSM UC'!N10*(Inputs!$C$21)</f>
        <v>5836.7948491438538</v>
      </c>
      <c r="O10" s="401">
        <f>'Non-Residential TSM UC'!O10*(Inputs!$C$21)</f>
        <v>718.29191911453245</v>
      </c>
      <c r="P10" s="401">
        <f>'Non-Residential TSM UC'!P10*(Inputs!$C$21)</f>
        <v>301.76349896014176</v>
      </c>
      <c r="Q10" s="41">
        <f t="shared" si="3"/>
        <v>6856.8502672185286</v>
      </c>
      <c r="R10" s="113"/>
      <c r="S10" s="401">
        <f>'Non-Residential TSM UC'!S10*(Inputs!$C$21)</f>
        <v>3129.9273129422195</v>
      </c>
      <c r="T10" s="401">
        <f>'Non-Residential TSM UC'!T10*(Inputs!$C$21)</f>
        <v>865.67585029149416</v>
      </c>
      <c r="U10" s="41">
        <f t="shared" si="4"/>
        <v>3995.6031632337135</v>
      </c>
      <c r="V10" s="113"/>
      <c r="W10" s="401">
        <f>'Non-Residential TSM UC'!W10*(Inputs!$C$21)</f>
        <v>58921.458906063985</v>
      </c>
      <c r="X10" s="401">
        <f>'Non-Residential TSM UC'!X10*(Inputs!$C$21)</f>
        <v>967.82163835260417</v>
      </c>
      <c r="Y10" s="41">
        <f t="shared" si="5"/>
        <v>59889.280544416586</v>
      </c>
    </row>
    <row r="11" spans="1:28" ht="13">
      <c r="A11" s="124" t="s">
        <v>97</v>
      </c>
      <c r="B11" s="402">
        <f>'Non-Residential TSM UC'!B11*(Inputs!$C$21)</f>
        <v>2182.7286417415198</v>
      </c>
      <c r="C11" s="401">
        <f>'Non-Residential TSM UC'!C11*(Inputs!$C$21)</f>
        <v>172.82934577832256</v>
      </c>
      <c r="D11" s="401">
        <f>'Non-Residential TSM UC'!D11*(Inputs!$C$21)</f>
        <v>234.29973156037588</v>
      </c>
      <c r="E11" s="41">
        <f t="shared" si="0"/>
        <v>2589.857719080218</v>
      </c>
      <c r="F11" s="402">
        <f>'Non-Residential TSM UC'!F11*(Inputs!$C$21)</f>
        <v>4705.9101974650057</v>
      </c>
      <c r="G11" s="401">
        <f>'Non-Residential TSM UC'!G11*(Inputs!$C$21)</f>
        <v>718.29191911453245</v>
      </c>
      <c r="H11" s="401">
        <f>'Non-Residential TSM UC'!H11*(Inputs!$C$21)</f>
        <v>301.76349896014176</v>
      </c>
      <c r="I11" s="41">
        <f t="shared" si="1"/>
        <v>5725.9656155396797</v>
      </c>
      <c r="J11" s="402">
        <f>'Non-Residential TSM UC'!J11*(Inputs!$C$21)</f>
        <v>4948.0982931893386</v>
      </c>
      <c r="K11" s="401">
        <f>'Non-Residential TSM UC'!K11*(Inputs!$C$21)</f>
        <v>718.29191911453245</v>
      </c>
      <c r="L11" s="401">
        <f>'Non-Residential TSM UC'!L11*(Inputs!$C$21)</f>
        <v>301.76349896014176</v>
      </c>
      <c r="M11" s="41">
        <f t="shared" si="2"/>
        <v>5968.1537112640135</v>
      </c>
      <c r="N11" s="402">
        <f>'Non-Residential TSM UC'!N11*(Inputs!$C$21)</f>
        <v>5836.7948491438538</v>
      </c>
      <c r="O11" s="401">
        <f>'Non-Residential TSM UC'!O11*(Inputs!$C$21)</f>
        <v>718.29191911453245</v>
      </c>
      <c r="P11" s="401">
        <f>'Non-Residential TSM UC'!P11*(Inputs!$C$21)</f>
        <v>301.76349896014176</v>
      </c>
      <c r="Q11" s="41">
        <f t="shared" si="3"/>
        <v>6856.8502672185286</v>
      </c>
      <c r="R11" s="113"/>
      <c r="S11" s="401">
        <f>'Non-Residential TSM UC'!S11*(Inputs!$C$21)</f>
        <v>3129.9273129422195</v>
      </c>
      <c r="T11" s="401">
        <f>'Non-Residential TSM UC'!T11*(Inputs!$C$21)</f>
        <v>865.67585029149416</v>
      </c>
      <c r="U11" s="41">
        <f t="shared" si="4"/>
        <v>3995.6031632337135</v>
      </c>
      <c r="V11" s="113"/>
      <c r="W11" s="401">
        <f>'Non-Residential TSM UC'!W11*(Inputs!$C$21)</f>
        <v>58921.458906063985</v>
      </c>
      <c r="X11" s="401">
        <f>'Non-Residential TSM UC'!X11*(Inputs!$C$21)</f>
        <v>967.82163835260417</v>
      </c>
      <c r="Y11" s="41">
        <f t="shared" si="5"/>
        <v>59889.280544416586</v>
      </c>
    </row>
    <row r="12" spans="1:28" ht="13">
      <c r="A12" s="124" t="s">
        <v>8</v>
      </c>
      <c r="B12" s="402">
        <f>'Non-Residential TSM UC'!B12*(Inputs!$C$21)</f>
        <v>4690.093592721636</v>
      </c>
      <c r="C12" s="401">
        <f>'Non-Residential TSM UC'!C12*(Inputs!$C$21)</f>
        <v>416.66793089405189</v>
      </c>
      <c r="D12" s="401">
        <f>'Non-Residential TSM UC'!D12*(Inputs!$C$21)</f>
        <v>234.29973156037588</v>
      </c>
      <c r="E12" s="41">
        <f t="shared" si="0"/>
        <v>5341.0612551760642</v>
      </c>
      <c r="F12" s="402">
        <f>'Non-Residential TSM UC'!F12*(Inputs!$C$21)</f>
        <v>14117.730592395017</v>
      </c>
      <c r="G12" s="401">
        <f>'Non-Residential TSM UC'!G12*(Inputs!$C$21)</f>
        <v>935.23510714228996</v>
      </c>
      <c r="H12" s="401">
        <f>'Non-Residential TSM UC'!H12*(Inputs!$C$21)</f>
        <v>301.76349896014176</v>
      </c>
      <c r="I12" s="41">
        <f t="shared" si="1"/>
        <v>15354.729198497449</v>
      </c>
      <c r="J12" s="402">
        <f>'Non-Residential TSM UC'!J12*(Inputs!$C$21)</f>
        <v>14844.294879568015</v>
      </c>
      <c r="K12" s="401">
        <f>'Non-Residential TSM UC'!K12*(Inputs!$C$21)</f>
        <v>935.23510714228996</v>
      </c>
      <c r="L12" s="401">
        <f>'Non-Residential TSM UC'!L12*(Inputs!$C$21)</f>
        <v>301.76349896014176</v>
      </c>
      <c r="M12" s="41">
        <f t="shared" si="2"/>
        <v>16081.293485670447</v>
      </c>
      <c r="N12" s="402">
        <f>'Non-Residential TSM UC'!N12*(Inputs!$C$21)</f>
        <v>5836.7948491438538</v>
      </c>
      <c r="O12" s="401">
        <f>'Non-Residential TSM UC'!O12*(Inputs!$C$21)</f>
        <v>935.23510714228996</v>
      </c>
      <c r="P12" s="401">
        <f>'Non-Residential TSM UC'!P12*(Inputs!$C$21)</f>
        <v>301.76349896014176</v>
      </c>
      <c r="Q12" s="41">
        <f t="shared" si="3"/>
        <v>7073.7934552462857</v>
      </c>
      <c r="R12" s="113"/>
      <c r="S12" s="401">
        <f>'Non-Residential TSM UC'!S12*(Inputs!$C$21)</f>
        <v>3129.9273129422195</v>
      </c>
      <c r="T12" s="401">
        <f>'Non-Residential TSM UC'!T12*(Inputs!$C$21)</f>
        <v>865.67585029149416</v>
      </c>
      <c r="U12" s="41">
        <f t="shared" si="4"/>
        <v>3995.6031632337135</v>
      </c>
      <c r="V12" s="113"/>
      <c r="W12" s="401">
        <f>'Non-Residential TSM UC'!W12*(Inputs!$C$21)</f>
        <v>58921.458906063985</v>
      </c>
      <c r="X12" s="401">
        <f>'Non-Residential TSM UC'!X12*(Inputs!$C$21)</f>
        <v>967.82163835260417</v>
      </c>
      <c r="Y12" s="41">
        <f t="shared" si="5"/>
        <v>59889.280544416586</v>
      </c>
    </row>
    <row r="13" spans="1:28" ht="13">
      <c r="A13" s="124" t="s">
        <v>9</v>
      </c>
      <c r="B13" s="402">
        <f>'Non-Residential TSM UC'!B13*(Inputs!$C$21)</f>
        <v>5150.0808789771727</v>
      </c>
      <c r="C13" s="401">
        <f>'Non-Residential TSM UC'!C13*(Inputs!$C$21)</f>
        <v>671.30102360008686</v>
      </c>
      <c r="D13" s="401">
        <f>'Non-Residential TSM UC'!D13*(Inputs!$C$21)</f>
        <v>234.29973156037588</v>
      </c>
      <c r="E13" s="41">
        <f t="shared" si="0"/>
        <v>6055.6816341376352</v>
      </c>
      <c r="F13" s="402">
        <f>'Non-Residential TSM UC'!F13*(Inputs!$C$21)</f>
        <v>14117.730592395017</v>
      </c>
      <c r="G13" s="401">
        <f>'Non-Residential TSM UC'!G13*(Inputs!$C$21)</f>
        <v>1440.5499348403266</v>
      </c>
      <c r="H13" s="401">
        <f>'Non-Residential TSM UC'!H13*(Inputs!$C$21)</f>
        <v>301.76349896014176</v>
      </c>
      <c r="I13" s="41">
        <f t="shared" si="1"/>
        <v>15860.044026195485</v>
      </c>
      <c r="J13" s="402">
        <f>'Non-Residential TSM UC'!J13*(Inputs!$C$21)</f>
        <v>14844.294879568015</v>
      </c>
      <c r="K13" s="401">
        <f>'Non-Residential TSM UC'!K13*(Inputs!$C$21)</f>
        <v>1440.5499348403266</v>
      </c>
      <c r="L13" s="401">
        <f>'Non-Residential TSM UC'!L13*(Inputs!$C$21)</f>
        <v>301.76349896014176</v>
      </c>
      <c r="M13" s="41">
        <f t="shared" si="2"/>
        <v>16586.608313368484</v>
      </c>
      <c r="N13" s="402">
        <f>'Non-Residential TSM UC'!N13*(Inputs!$C$21)</f>
        <v>8755.1922737157802</v>
      </c>
      <c r="O13" s="401">
        <f>'Non-Residential TSM UC'!O13*(Inputs!$C$21)</f>
        <v>935.23510714228996</v>
      </c>
      <c r="P13" s="401">
        <f>'Non-Residential TSM UC'!P13*(Inputs!$C$21)</f>
        <v>301.76349896014176</v>
      </c>
      <c r="Q13" s="41">
        <f t="shared" si="3"/>
        <v>9992.1908798182103</v>
      </c>
      <c r="R13" s="113"/>
      <c r="S13" s="401">
        <f>'Non-Residential TSM UC'!S13*(Inputs!$C$21)</f>
        <v>3129.9273129422195</v>
      </c>
      <c r="T13" s="401">
        <f>'Non-Residential TSM UC'!T13*(Inputs!$C$21)</f>
        <v>865.67585029149416</v>
      </c>
      <c r="U13" s="41">
        <f t="shared" si="4"/>
        <v>3995.6031632337135</v>
      </c>
      <c r="V13" s="113"/>
      <c r="W13" s="401">
        <f>'Non-Residential TSM UC'!W13*(Inputs!$C$21)</f>
        <v>58921.458906063985</v>
      </c>
      <c r="X13" s="401">
        <f>'Non-Residential TSM UC'!X13*(Inputs!$C$21)</f>
        <v>967.82163835260417</v>
      </c>
      <c r="Y13" s="41">
        <f t="shared" si="5"/>
        <v>59889.280544416586</v>
      </c>
    </row>
    <row r="14" spans="1:28" ht="13">
      <c r="A14" s="124" t="s">
        <v>10</v>
      </c>
      <c r="B14" s="402">
        <f>'Non-Residential TSM UC'!B14*(Inputs!$C$21)</f>
        <v>4936.206559466149</v>
      </c>
      <c r="C14" s="401">
        <f>'Non-Residential TSM UC'!C14*(Inputs!$C$21)</f>
        <v>1276.372447066306</v>
      </c>
      <c r="D14" s="401">
        <f>'Non-Residential TSM UC'!D14*(Inputs!$C$21)</f>
        <v>234.29973156037588</v>
      </c>
      <c r="E14" s="41">
        <f t="shared" si="0"/>
        <v>6446.8787380928306</v>
      </c>
      <c r="F14" s="402">
        <f>'Non-Residential TSM UC'!F14*(Inputs!$C$21)</f>
        <v>8339.1934513193628</v>
      </c>
      <c r="G14" s="401">
        <f>'Non-Residential TSM UC'!G14*(Inputs!$C$21)</f>
        <v>1440.5499348403266</v>
      </c>
      <c r="H14" s="401">
        <f>'Non-Residential TSM UC'!H14*(Inputs!$C$21)</f>
        <v>301.76349896014176</v>
      </c>
      <c r="I14" s="41">
        <f t="shared" si="1"/>
        <v>10081.50688511983</v>
      </c>
      <c r="J14" s="402">
        <f>'Non-Residential TSM UC'!J14*(Inputs!$C$21)</f>
        <v>8597.5391843563593</v>
      </c>
      <c r="K14" s="401">
        <f>'Non-Residential TSM UC'!K14*(Inputs!$C$21)</f>
        <v>1440.5499348403266</v>
      </c>
      <c r="L14" s="401">
        <f>'Non-Residential TSM UC'!L14*(Inputs!$C$21)</f>
        <v>301.76349896014176</v>
      </c>
      <c r="M14" s="41">
        <f t="shared" si="2"/>
        <v>10339.852618156827</v>
      </c>
      <c r="N14" s="402">
        <f>'Non-Residential TSM UC'!N14*(Inputs!$C$21)</f>
        <v>8755.1922737157802</v>
      </c>
      <c r="O14" s="401">
        <f>'Non-Residential TSM UC'!O14*(Inputs!$C$21)</f>
        <v>1440.5499348403266</v>
      </c>
      <c r="P14" s="401">
        <f>'Non-Residential TSM UC'!P14*(Inputs!$C$21)</f>
        <v>301.76349896014176</v>
      </c>
      <c r="Q14" s="41">
        <f t="shared" si="3"/>
        <v>10497.505707516248</v>
      </c>
      <c r="R14" s="113"/>
      <c r="S14" s="401">
        <f>'Non-Residential TSM UC'!S14*(Inputs!$C$21)</f>
        <v>3129.9273129422195</v>
      </c>
      <c r="T14" s="401">
        <f>'Non-Residential TSM UC'!T14*(Inputs!$C$21)</f>
        <v>865.67585029149416</v>
      </c>
      <c r="U14" s="41">
        <f t="shared" si="4"/>
        <v>3995.6031632337135</v>
      </c>
      <c r="V14" s="113"/>
      <c r="W14" s="401">
        <f>'Non-Residential TSM UC'!W14*(Inputs!$C$21)</f>
        <v>58921.458906063985</v>
      </c>
      <c r="X14" s="401">
        <f>'Non-Residential TSM UC'!X14*(Inputs!$C$21)</f>
        <v>967.82163835260417</v>
      </c>
      <c r="Y14" s="41">
        <f t="shared" si="5"/>
        <v>59889.280544416586</v>
      </c>
    </row>
    <row r="15" spans="1:28" ht="13">
      <c r="A15" s="124" t="s">
        <v>11</v>
      </c>
      <c r="B15" s="402">
        <f>'Non-Residential TSM UC'!B15*(Inputs!$C$21)</f>
        <v>4936.206559466149</v>
      </c>
      <c r="C15" s="401">
        <f>'Non-Residential TSM UC'!C15*(Inputs!$C$21)</f>
        <v>1881.4438705325249</v>
      </c>
      <c r="D15" s="401">
        <f>'Non-Residential TSM UC'!D15*(Inputs!$C$21)</f>
        <v>234.29973156037588</v>
      </c>
      <c r="E15" s="41">
        <f t="shared" si="0"/>
        <v>7051.9501615590498</v>
      </c>
      <c r="F15" s="402">
        <f>'Non-Residential TSM UC'!F15*(Inputs!$C$21)</f>
        <v>8339.1934513193628</v>
      </c>
      <c r="G15" s="401">
        <f>'Non-Residential TSM UC'!G15*(Inputs!$C$21)</f>
        <v>2881.0998696806532</v>
      </c>
      <c r="H15" s="401">
        <f>'Non-Residential TSM UC'!H15*(Inputs!$C$21)</f>
        <v>865.67585029149416</v>
      </c>
      <c r="I15" s="41">
        <f t="shared" si="1"/>
        <v>12085.96917129151</v>
      </c>
      <c r="J15" s="402">
        <f>'Non-Residential TSM UC'!J15*(Inputs!$C$21)</f>
        <v>17195.078368712719</v>
      </c>
      <c r="K15" s="401">
        <f>'Non-Residential TSM UC'!K15*(Inputs!$C$21)</f>
        <v>2881.0998696806532</v>
      </c>
      <c r="L15" s="401">
        <f>'Non-Residential TSM UC'!L15*(Inputs!$C$21)</f>
        <v>865.67585029149416</v>
      </c>
      <c r="M15" s="41">
        <f t="shared" si="2"/>
        <v>20941.854088684864</v>
      </c>
      <c r="N15" s="402">
        <f>'Non-Residential TSM UC'!N15*(Inputs!$C$21)</f>
        <v>17510.38454743156</v>
      </c>
      <c r="O15" s="401">
        <f>'Non-Residential TSM UC'!O15*(Inputs!$C$21)</f>
        <v>1440.5499348403266</v>
      </c>
      <c r="P15" s="401">
        <f>'Non-Residential TSM UC'!P15*(Inputs!$C$21)</f>
        <v>865.67585029149416</v>
      </c>
      <c r="Q15" s="41">
        <f t="shared" si="3"/>
        <v>19816.610332563381</v>
      </c>
      <c r="R15" s="113"/>
      <c r="S15" s="401">
        <f>'Non-Residential TSM UC'!S15*(Inputs!$C$21)</f>
        <v>3129.9273129422195</v>
      </c>
      <c r="T15" s="401">
        <f>'Non-Residential TSM UC'!T15*(Inputs!$C$21)</f>
        <v>967.82163835260417</v>
      </c>
      <c r="U15" s="41">
        <f t="shared" si="4"/>
        <v>4097.7489512948232</v>
      </c>
      <c r="V15" s="113"/>
      <c r="W15" s="401">
        <f>'Non-Residential TSM UC'!W15*(Inputs!$C$21)</f>
        <v>58921.458906063985</v>
      </c>
      <c r="X15" s="401">
        <f>'Non-Residential TSM UC'!X15*(Inputs!$C$21)</f>
        <v>967.82163835260417</v>
      </c>
      <c r="Y15" s="41">
        <f t="shared" si="5"/>
        <v>59889.280544416586</v>
      </c>
    </row>
    <row r="16" spans="1:28" ht="13">
      <c r="A16" s="124" t="s">
        <v>101</v>
      </c>
      <c r="B16" s="402">
        <f>'Non-Residential TSM UC'!B16*(Inputs!$C$21)</f>
        <v>6972.3309833234607</v>
      </c>
      <c r="C16" s="401">
        <f>'Non-Residential TSM UC'!C16*(Inputs!$C$21)</f>
        <v>1881.4438705325249</v>
      </c>
      <c r="D16" s="401">
        <f>'Non-Residential TSM UC'!D16*(Inputs!$C$21)</f>
        <v>234.29973156037588</v>
      </c>
      <c r="E16" s="41">
        <f t="shared" si="0"/>
        <v>9088.0745854163615</v>
      </c>
      <c r="F16" s="402">
        <f>'Non-Residential TSM UC'!F16*(Inputs!$C$21)</f>
        <v>16678.386902638726</v>
      </c>
      <c r="G16" s="401">
        <f>'Non-Residential TSM UC'!G16*(Inputs!$C$21)</f>
        <v>3881.3806159244828</v>
      </c>
      <c r="H16" s="401">
        <f>'Non-Residential TSM UC'!H16*(Inputs!$C$21)</f>
        <v>865.67585029149416</v>
      </c>
      <c r="I16" s="41">
        <f t="shared" si="1"/>
        <v>21425.4433688547</v>
      </c>
      <c r="J16" s="402">
        <f>'Non-Residential TSM UC'!J16*(Inputs!$C$21)</f>
        <v>9687.5686087994509</v>
      </c>
      <c r="K16" s="401">
        <f>'Non-Residential TSM UC'!K16*(Inputs!$C$21)</f>
        <v>3881.3806159244828</v>
      </c>
      <c r="L16" s="401">
        <f>'Non-Residential TSM UC'!L16*(Inputs!$C$21)</f>
        <v>865.67585029149416</v>
      </c>
      <c r="M16" s="41">
        <f t="shared" si="2"/>
        <v>14434.625075015429</v>
      </c>
      <c r="N16" s="402">
        <f>'Non-Residential TSM UC'!N16*(Inputs!$C$21)</f>
        <v>9171.5053855295391</v>
      </c>
      <c r="O16" s="401">
        <f>'Non-Residential TSM UC'!O16*(Inputs!$C$21)</f>
        <v>1940.6903079622414</v>
      </c>
      <c r="P16" s="401">
        <f>'Non-Residential TSM UC'!P16*(Inputs!$C$21)</f>
        <v>865.67585029149416</v>
      </c>
      <c r="Q16" s="41">
        <f t="shared" si="3"/>
        <v>11977.871543783274</v>
      </c>
      <c r="R16" s="113"/>
      <c r="S16" s="401">
        <f>'Non-Residential TSM UC'!S16*(Inputs!$C$21)</f>
        <v>3129.9273129422195</v>
      </c>
      <c r="T16" s="401">
        <f>'Non-Residential TSM UC'!T16*(Inputs!$C$21)</f>
        <v>967.82163835260417</v>
      </c>
      <c r="U16" s="41">
        <f t="shared" si="4"/>
        <v>4097.7489512948232</v>
      </c>
      <c r="V16" s="113"/>
      <c r="W16" s="401">
        <f>'Non-Residential TSM UC'!W16*(Inputs!$C$21)</f>
        <v>58921.458906063985</v>
      </c>
      <c r="X16" s="401">
        <f>'Non-Residential TSM UC'!X16*(Inputs!$C$21)</f>
        <v>967.82163835260417</v>
      </c>
      <c r="Y16" s="41">
        <f t="shared" si="5"/>
        <v>59889.280544416586</v>
      </c>
    </row>
    <row r="17" spans="1:28" ht="13">
      <c r="A17" s="124" t="s">
        <v>102</v>
      </c>
      <c r="B17" s="113"/>
      <c r="C17" s="98"/>
      <c r="D17" s="98"/>
      <c r="E17" s="41"/>
      <c r="F17" s="402">
        <f>'Non-Residential TSM UC'!F17*(Inputs!$C$21)</f>
        <v>16678.386902638726</v>
      </c>
      <c r="G17" s="401">
        <f>'Non-Residential TSM UC'!G17*(Inputs!$C$21)</f>
        <v>3881.3806159244828</v>
      </c>
      <c r="H17" s="401">
        <f>'Non-Residential TSM UC'!H17*(Inputs!$C$21)</f>
        <v>865.67585029149416</v>
      </c>
      <c r="I17" s="41">
        <f t="shared" si="1"/>
        <v>21425.4433688547</v>
      </c>
      <c r="J17" s="402">
        <f>'Non-Residential TSM UC'!J17*(Inputs!$C$21)</f>
        <v>9687.5686087994509</v>
      </c>
      <c r="K17" s="401">
        <f>'Non-Residential TSM UC'!K17*(Inputs!$C$21)</f>
        <v>3881.3806159244828</v>
      </c>
      <c r="L17" s="401">
        <f>'Non-Residential TSM UC'!L17*(Inputs!$C$21)</f>
        <v>865.67585029149416</v>
      </c>
      <c r="M17" s="41">
        <f t="shared" si="2"/>
        <v>14434.625075015429</v>
      </c>
      <c r="N17" s="402">
        <f>'Non-Residential TSM UC'!N17*(Inputs!$C$21)</f>
        <v>9171.5053855295391</v>
      </c>
      <c r="O17" s="401">
        <f>'Non-Residential TSM UC'!O17*(Inputs!$C$21)</f>
        <v>1940.6903079622414</v>
      </c>
      <c r="P17" s="401">
        <f>'Non-Residential TSM UC'!P17*(Inputs!$C$21)</f>
        <v>865.67585029149416</v>
      </c>
      <c r="Q17" s="41">
        <f t="shared" si="3"/>
        <v>11977.871543783274</v>
      </c>
      <c r="R17" s="113"/>
      <c r="S17" s="401">
        <f>'Non-Residential TSM UC'!S17*(Inputs!$C$21)</f>
        <v>3129.9273129422195</v>
      </c>
      <c r="T17" s="401">
        <f>'Non-Residential TSM UC'!T17*(Inputs!$C$21)</f>
        <v>967.82163835260417</v>
      </c>
      <c r="U17" s="41">
        <f t="shared" si="4"/>
        <v>4097.7489512948232</v>
      </c>
      <c r="V17" s="113"/>
      <c r="W17" s="401">
        <f>'Non-Residential TSM UC'!W17*(Inputs!$C$21)</f>
        <v>58921.458906063985</v>
      </c>
      <c r="X17" s="401">
        <f>'Non-Residential TSM UC'!X17*(Inputs!$C$21)</f>
        <v>967.82163835260417</v>
      </c>
      <c r="Y17" s="41">
        <f t="shared" si="5"/>
        <v>59889.280544416586</v>
      </c>
      <c r="AB17" s="31"/>
    </row>
    <row r="18" spans="1:28" ht="13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f>'Non-Residential TSM UC'!J18*(Inputs!$C$21)</f>
        <v>19375.137217598902</v>
      </c>
      <c r="K18" s="401">
        <f>'Non-Residential TSM UC'!K18*(Inputs!$C$21)</f>
        <v>6332.3820101775018</v>
      </c>
      <c r="L18" s="401">
        <f>'Non-Residential TSM UC'!L18*(Inputs!$C$21)</f>
        <v>865.67585029149416</v>
      </c>
      <c r="M18" s="41">
        <f t="shared" si="2"/>
        <v>26573.195078067896</v>
      </c>
      <c r="N18" s="402">
        <f>'Non-Residential TSM UC'!N18*(Inputs!$C$21)</f>
        <v>18343.010771059078</v>
      </c>
      <c r="O18" s="401">
        <f>'Non-Residential TSM UC'!O18*(Inputs!$C$21)</f>
        <v>3166.1910050887509</v>
      </c>
      <c r="P18" s="401">
        <f>'Non-Residential TSM UC'!P18*(Inputs!$C$21)</f>
        <v>865.67585029149416</v>
      </c>
      <c r="Q18" s="41">
        <f t="shared" si="3"/>
        <v>22374.87762643932</v>
      </c>
      <c r="R18" s="113"/>
      <c r="S18" s="401">
        <f>'Non-Residential TSM UC'!S18*(Inputs!$C$21)</f>
        <v>3129.9273129422195</v>
      </c>
      <c r="T18" s="401">
        <f>'Non-Residential TSM UC'!T18*(Inputs!$C$21)</f>
        <v>967.82163835260417</v>
      </c>
      <c r="U18" s="41">
        <f t="shared" si="4"/>
        <v>4097.7489512948232</v>
      </c>
      <c r="V18" s="113"/>
      <c r="W18" s="401">
        <f>'Non-Residential TSM UC'!W18*(Inputs!$C$21)</f>
        <v>58921.458906063985</v>
      </c>
      <c r="X18" s="401">
        <f>'Non-Residential TSM UC'!X18*(Inputs!$C$21)</f>
        <v>967.82163835260417</v>
      </c>
      <c r="Y18" s="41">
        <f t="shared" si="5"/>
        <v>59889.280544416586</v>
      </c>
      <c r="AB18" s="31"/>
    </row>
    <row r="19" spans="1:28" ht="13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2">
        <f>'Non-Residential TSM UC'!J19*(Inputs!$C$21)</f>
        <v>12406.351038992085</v>
      </c>
      <c r="K19" s="401">
        <f>'Non-Residential TSM UC'!K19*(Inputs!$C$21)</f>
        <v>9498.5730152662527</v>
      </c>
      <c r="L19" s="401">
        <f>'Non-Residential TSM UC'!L19*(Inputs!$C$21)</f>
        <v>865.67585029149416</v>
      </c>
      <c r="M19" s="41">
        <f t="shared" si="2"/>
        <v>22770.599904549828</v>
      </c>
      <c r="N19" s="402">
        <f>'Non-Residential TSM UC'!N19*(Inputs!$C$21)</f>
        <v>12406.351038992085</v>
      </c>
      <c r="O19" s="401">
        <f>'Non-Residential TSM UC'!O19*(Inputs!$C$21)</f>
        <v>3881.3806159244828</v>
      </c>
      <c r="P19" s="401">
        <f>'Non-Residential TSM UC'!P19*(Inputs!$C$21)</f>
        <v>865.67585029149416</v>
      </c>
      <c r="Q19" s="41">
        <f t="shared" si="3"/>
        <v>17153.407505208063</v>
      </c>
      <c r="R19" s="113"/>
      <c r="S19" s="401">
        <f>'Non-Residential TSM UC'!S19*(Inputs!$C$21)</f>
        <v>3129.9273129422195</v>
      </c>
      <c r="T19" s="401">
        <f>'Non-Residential TSM UC'!T19*(Inputs!$C$21)</f>
        <v>967.82163835260417</v>
      </c>
      <c r="U19" s="41">
        <f t="shared" si="4"/>
        <v>4097.7489512948232</v>
      </c>
      <c r="V19" s="113"/>
      <c r="W19" s="401">
        <f>'Non-Residential TSM UC'!W19*(Inputs!$C$21)</f>
        <v>58921.458906063985</v>
      </c>
      <c r="X19" s="401">
        <f>'Non-Residential TSM UC'!X19*(Inputs!$C$21)</f>
        <v>967.82163835260417</v>
      </c>
      <c r="Y19" s="41">
        <f t="shared" si="5"/>
        <v>59889.280544416586</v>
      </c>
      <c r="AB19" s="31"/>
    </row>
    <row r="20" spans="1:28" ht="13">
      <c r="A20" s="124" t="s">
        <v>103</v>
      </c>
      <c r="B20" s="113"/>
      <c r="C20" s="98"/>
      <c r="D20" s="98"/>
      <c r="E20" s="41"/>
      <c r="F20" s="113"/>
      <c r="G20" s="98"/>
      <c r="H20" s="98"/>
      <c r="I20" s="41"/>
      <c r="J20" s="402">
        <f>'Non-Residential TSM UC'!J20*(Inputs!$C$21)</f>
        <v>16768.219224341061</v>
      </c>
      <c r="K20" s="401">
        <f>'Non-Residential TSM UC'!K20*(Inputs!$C$21)</f>
        <v>9498.5730152662527</v>
      </c>
      <c r="L20" s="401">
        <f>'Non-Residential TSM UC'!L20*(Inputs!$C$21)</f>
        <v>865.67585029149416</v>
      </c>
      <c r="M20" s="41">
        <f t="shared" ref="M20:M28" si="6">SUM(J20:L20)</f>
        <v>27132.468089898804</v>
      </c>
      <c r="N20" s="402">
        <f>'Non-Residential TSM UC'!N20*(Inputs!$C$21)</f>
        <v>14168.457286169785</v>
      </c>
      <c r="O20" s="401">
        <f>'Non-Residential TSM UC'!O20*(Inputs!$C$21)</f>
        <v>3881.3806159244828</v>
      </c>
      <c r="P20" s="401">
        <f>'Non-Residential TSM UC'!P20*(Inputs!$C$21)</f>
        <v>865.67585029149416</v>
      </c>
      <c r="Q20" s="41">
        <f>SUM(N20:P20)</f>
        <v>18915.513752385759</v>
      </c>
      <c r="R20" s="113"/>
      <c r="S20" s="401">
        <f>'Non-Residential TSM UC'!S20*(Inputs!$C$21)</f>
        <v>3129.9273129422195</v>
      </c>
      <c r="T20" s="401">
        <f>'Non-Residential TSM UC'!T20*(Inputs!$C$21)</f>
        <v>967.82163835260417</v>
      </c>
      <c r="U20" s="41">
        <f>SUM(R20:T20)</f>
        <v>4097.7489512948232</v>
      </c>
      <c r="V20" s="113"/>
      <c r="W20" s="401">
        <f>'Non-Residential TSM UC'!W20*(Inputs!$C$21)</f>
        <v>58921.458906063985</v>
      </c>
      <c r="X20" s="401">
        <f>'Non-Residential TSM UC'!X20*(Inputs!$C$21)</f>
        <v>967.82163835260417</v>
      </c>
      <c r="Y20" s="41">
        <f>SUM(V20:X20)</f>
        <v>59889.280544416586</v>
      </c>
      <c r="AB20" s="31"/>
    </row>
    <row r="21" spans="1:28" ht="13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402">
        <f>'Non-Residential TSM UC'!J21*(Inputs!$C$21)</f>
        <v>16768.219224341061</v>
      </c>
      <c r="K21" s="401">
        <f>'Non-Residential TSM UC'!K21*(Inputs!$C$21)</f>
        <v>9498.5730152662527</v>
      </c>
      <c r="L21" s="401">
        <f>'Non-Residential TSM UC'!L21*(Inputs!$C$21)</f>
        <v>865.67585029149416</v>
      </c>
      <c r="M21" s="41">
        <f t="shared" si="6"/>
        <v>27132.468089898804</v>
      </c>
      <c r="N21" s="402">
        <f>'Non-Residential TSM UC'!N21*(Inputs!$C$21)</f>
        <v>14168.457286169785</v>
      </c>
      <c r="O21" s="401">
        <f>'Non-Residential TSM UC'!O21*(Inputs!$C$21)</f>
        <v>3881.3806159244828</v>
      </c>
      <c r="P21" s="401">
        <f>'Non-Residential TSM UC'!P21*(Inputs!$C$21)</f>
        <v>865.67585029149416</v>
      </c>
      <c r="Q21" s="41">
        <f t="shared" si="3"/>
        <v>18915.513752385759</v>
      </c>
      <c r="R21" s="113"/>
      <c r="S21" s="401">
        <f>'Non-Residential TSM UC'!S21*(Inputs!$C$21)</f>
        <v>3129.9273129422195</v>
      </c>
      <c r="T21" s="401">
        <f>'Non-Residential TSM UC'!T21*(Inputs!$C$21)</f>
        <v>967.82163835260417</v>
      </c>
      <c r="U21" s="41">
        <f t="shared" ref="U21:U37" si="7">SUM(R21:T21)</f>
        <v>4097.7489512948232</v>
      </c>
      <c r="V21" s="113"/>
      <c r="W21" s="401">
        <f>'Non-Residential TSM UC'!W21*(Inputs!$C$21)</f>
        <v>58921.458906063985</v>
      </c>
      <c r="X21" s="401">
        <f>'Non-Residential TSM UC'!X21*(Inputs!$C$21)</f>
        <v>967.82163835260417</v>
      </c>
      <c r="Y21" s="41">
        <f t="shared" ref="Y21:Y37" si="8">SUM(V21:X21)</f>
        <v>59889.280544416586</v>
      </c>
      <c r="AB21" s="31"/>
    </row>
    <row r="22" spans="1:28" ht="13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f>'Non-Residential TSM UC'!J22*(Inputs!$C$21)</f>
        <v>33536.438448682122</v>
      </c>
      <c r="K22" s="401">
        <f>'Non-Residential TSM UC'!K22*(Inputs!$C$21)</f>
        <v>12664.764020355004</v>
      </c>
      <c r="L22" s="401">
        <f>'Non-Residential TSM UC'!L22*(Inputs!$C$21)</f>
        <v>865.67585029149416</v>
      </c>
      <c r="M22" s="41">
        <f t="shared" si="6"/>
        <v>47066.878319328622</v>
      </c>
      <c r="N22" s="402">
        <f>'Non-Residential TSM UC'!N22*(Inputs!$C$21)</f>
        <v>28336.91457233957</v>
      </c>
      <c r="O22" s="401">
        <f>'Non-Residential TSM UC'!O22*(Inputs!$C$21)</f>
        <v>6332.3820101775018</v>
      </c>
      <c r="P22" s="401">
        <f>'Non-Residential TSM UC'!P22*(Inputs!$C$21)</f>
        <v>865.67585029149416</v>
      </c>
      <c r="Q22" s="41">
        <f t="shared" si="3"/>
        <v>35534.972432808565</v>
      </c>
      <c r="R22" s="113"/>
      <c r="S22" s="401">
        <f>'Non-Residential TSM UC'!S22*(Inputs!$C$21)</f>
        <v>3129.9273129422195</v>
      </c>
      <c r="T22" s="401">
        <f>'Non-Residential TSM UC'!T22*(Inputs!$C$21)</f>
        <v>967.82163835260417</v>
      </c>
      <c r="U22" s="41">
        <f t="shared" si="7"/>
        <v>4097.7489512948232</v>
      </c>
      <c r="V22" s="113"/>
      <c r="W22" s="401">
        <f>'Non-Residential TSM UC'!W22*(Inputs!$C$21)</f>
        <v>58921.458906063985</v>
      </c>
      <c r="X22" s="401">
        <f>'Non-Residential TSM UC'!X22*(Inputs!$C$21)</f>
        <v>967.82163835260417</v>
      </c>
      <c r="Y22" s="41">
        <f t="shared" si="8"/>
        <v>59889.280544416586</v>
      </c>
    </row>
    <row r="23" spans="1:28" ht="13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f>'Non-Residential TSM UC'!J23*(Inputs!$C$21)</f>
        <v>33536.438448682122</v>
      </c>
      <c r="K23" s="401">
        <f>'Non-Residential TSM UC'!K23*(Inputs!$C$21)</f>
        <v>15830.955025443756</v>
      </c>
      <c r="L23" s="401">
        <f>'Non-Residential TSM UC'!L23*(Inputs!$C$21)</f>
        <v>865.67585029149416</v>
      </c>
      <c r="M23" s="41">
        <f t="shared" si="6"/>
        <v>50233.069324417374</v>
      </c>
      <c r="N23" s="402">
        <f>'Non-Residential TSM UC'!N23*(Inputs!$C$21)</f>
        <v>34353.01585099873</v>
      </c>
      <c r="O23" s="401">
        <f>'Non-Residential TSM UC'!O23*(Inputs!$C$21)</f>
        <v>6332.3820101775018</v>
      </c>
      <c r="P23" s="401">
        <f>'Non-Residential TSM UC'!P23*(Inputs!$C$21)</f>
        <v>865.67585029149416</v>
      </c>
      <c r="Q23" s="41">
        <f t="shared" si="3"/>
        <v>41551.073711467725</v>
      </c>
      <c r="R23" s="113"/>
      <c r="S23" s="401">
        <f>'Non-Residential TSM UC'!S23*(Inputs!$C$21)</f>
        <v>3129.9273129422195</v>
      </c>
      <c r="T23" s="401">
        <f>'Non-Residential TSM UC'!T23*(Inputs!$C$21)</f>
        <v>967.82163835260417</v>
      </c>
      <c r="U23" s="41">
        <f t="shared" si="7"/>
        <v>4097.7489512948232</v>
      </c>
      <c r="V23" s="113"/>
      <c r="W23" s="401">
        <f>'Non-Residential TSM UC'!W23*(Inputs!$C$21)</f>
        <v>58921.458906063985</v>
      </c>
      <c r="X23" s="401">
        <f>'Non-Residential TSM UC'!X23*(Inputs!$C$21)</f>
        <v>967.82163835260417</v>
      </c>
      <c r="Y23" s="41">
        <f t="shared" si="8"/>
        <v>59889.280544416586</v>
      </c>
    </row>
    <row r="24" spans="1:28" ht="13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f>'Non-Residential TSM UC'!J24*(Inputs!$C$21)</f>
        <v>39374.705413198702</v>
      </c>
      <c r="K24" s="401">
        <f>'Non-Residential TSM UC'!K24*(Inputs!$C$21)</f>
        <v>18997.146030532505</v>
      </c>
      <c r="L24" s="401">
        <f>'Non-Residential TSM UC'!L24*(Inputs!$C$21)</f>
        <v>865.67585029149416</v>
      </c>
      <c r="M24" s="41">
        <f t="shared" si="6"/>
        <v>59237.527294022708</v>
      </c>
      <c r="N24" s="402">
        <f>'Non-Residential TSM UC'!N24*(Inputs!$C$21)</f>
        <v>34353.01585099873</v>
      </c>
      <c r="O24" s="401">
        <f>'Non-Residential TSM UC'!O24*(Inputs!$C$21)</f>
        <v>6332.3820101775018</v>
      </c>
      <c r="P24" s="401">
        <f>'Non-Residential TSM UC'!P24*(Inputs!$C$21)</f>
        <v>865.67585029149416</v>
      </c>
      <c r="Q24" s="41">
        <f t="shared" si="3"/>
        <v>41551.073711467725</v>
      </c>
      <c r="R24" s="113"/>
      <c r="S24" s="401">
        <f>'Non-Residential TSM UC'!S24*(Inputs!$C$21)</f>
        <v>3129.9273129422195</v>
      </c>
      <c r="T24" s="401">
        <f>'Non-Residential TSM UC'!T24*(Inputs!$C$21)</f>
        <v>967.82163835260417</v>
      </c>
      <c r="U24" s="41">
        <f t="shared" si="7"/>
        <v>4097.7489512948232</v>
      </c>
      <c r="V24" s="113"/>
      <c r="W24" s="401">
        <f>'Non-Residential TSM UC'!W24*(Inputs!$C$21)</f>
        <v>58921.458906063985</v>
      </c>
      <c r="X24" s="401">
        <f>'Non-Residential TSM UC'!X24*(Inputs!$C$21)</f>
        <v>967.82163835260417</v>
      </c>
      <c r="Y24" s="41">
        <f t="shared" si="8"/>
        <v>59889.280544416586</v>
      </c>
    </row>
    <row r="25" spans="1:28" ht="13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f>'Non-Residential TSM UC'!J25*(Inputs!$C$21)</f>
        <v>39374.705413198702</v>
      </c>
      <c r="K25" s="401">
        <f>'Non-Residential TSM UC'!K25*(Inputs!$C$21)</f>
        <v>28495.71904579876</v>
      </c>
      <c r="L25" s="401">
        <f>'Non-Residential TSM UC'!L25*(Inputs!$C$21)</f>
        <v>865.67585029149416</v>
      </c>
      <c r="M25" s="41">
        <f t="shared" si="6"/>
        <v>68736.100309288959</v>
      </c>
      <c r="N25" s="402">
        <f>'Non-Residential TSM UC'!N25*(Inputs!$C$21)</f>
        <v>39689.604854849094</v>
      </c>
      <c r="O25" s="401">
        <f>'Non-Residential TSM UC'!O25*(Inputs!$C$21)</f>
        <v>9498.5730152662527</v>
      </c>
      <c r="P25" s="401">
        <f>'Non-Residential TSM UC'!P25*(Inputs!$C$21)</f>
        <v>865.67585029149416</v>
      </c>
      <c r="Q25" s="41">
        <f t="shared" si="3"/>
        <v>50053.853720406842</v>
      </c>
      <c r="R25" s="113"/>
      <c r="S25" s="401">
        <f>'Non-Residential TSM UC'!S25*(Inputs!$C$21)</f>
        <v>3129.9273129422195</v>
      </c>
      <c r="T25" s="401">
        <f>'Non-Residential TSM UC'!T25*(Inputs!$C$21)</f>
        <v>967.82163835260417</v>
      </c>
      <c r="U25" s="41">
        <f t="shared" si="7"/>
        <v>4097.7489512948232</v>
      </c>
      <c r="V25" s="113"/>
      <c r="W25" s="401">
        <f>'Non-Residential TSM UC'!W25*(Inputs!$C$21)</f>
        <v>58921.458906063985</v>
      </c>
      <c r="X25" s="401">
        <f>'Non-Residential TSM UC'!X25*(Inputs!$C$21)</f>
        <v>967.82163835260417</v>
      </c>
      <c r="Y25" s="41">
        <f t="shared" si="8"/>
        <v>59889.280544416586</v>
      </c>
    </row>
    <row r="26" spans="1:28" ht="13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f>'Non-Residential TSM UC'!J26*(Inputs!$C$21)</f>
        <v>39374.705413198702</v>
      </c>
      <c r="K26" s="401">
        <f>'Non-Residential TSM UC'!K26*(Inputs!$C$21)</f>
        <v>37994.292061065011</v>
      </c>
      <c r="L26" s="401">
        <f>'Non-Residential TSM UC'!L26*(Inputs!$C$21)</f>
        <v>865.67585029149416</v>
      </c>
      <c r="M26" s="41">
        <f t="shared" si="6"/>
        <v>78234.673324555202</v>
      </c>
      <c r="N26" s="402">
        <f>'Non-Residential TSM UC'!N26*(Inputs!$C$21)</f>
        <v>39689.604854849094</v>
      </c>
      <c r="O26" s="401">
        <f>'Non-Residential TSM UC'!O26*(Inputs!$C$21)</f>
        <v>12664.764020355004</v>
      </c>
      <c r="P26" s="401">
        <f>'Non-Residential TSM UC'!P26*(Inputs!$C$21)</f>
        <v>865.67585029149416</v>
      </c>
      <c r="Q26" s="41">
        <f t="shared" si="3"/>
        <v>53220.044725495594</v>
      </c>
      <c r="R26" s="113"/>
      <c r="S26" s="401">
        <f>'Non-Residential TSM UC'!S26*(Inputs!$C$21)</f>
        <v>3129.9273129422195</v>
      </c>
      <c r="T26" s="401">
        <f>'Non-Residential TSM UC'!T26*(Inputs!$C$21)</f>
        <v>967.82163835260417</v>
      </c>
      <c r="U26" s="41">
        <f t="shared" si="7"/>
        <v>4097.7489512948232</v>
      </c>
      <c r="V26" s="113"/>
      <c r="W26" s="401">
        <f>'Non-Residential TSM UC'!W26*(Inputs!$C$21)</f>
        <v>58921.458906063985</v>
      </c>
      <c r="X26" s="401">
        <f>'Non-Residential TSM UC'!X26*(Inputs!$C$21)</f>
        <v>967.82163835260417</v>
      </c>
      <c r="Y26" s="41">
        <f t="shared" si="8"/>
        <v>59889.280544416586</v>
      </c>
    </row>
    <row r="27" spans="1:28" ht="13">
      <c r="A27" s="124" t="s">
        <v>19</v>
      </c>
      <c r="B27" s="113"/>
      <c r="C27" s="98"/>
      <c r="D27" s="98"/>
      <c r="E27" s="41"/>
      <c r="F27" s="113"/>
      <c r="G27" s="98"/>
      <c r="H27" s="23"/>
      <c r="I27" s="41"/>
      <c r="J27" s="402">
        <f>'Non-Residential TSM UC'!J27*(Inputs!$C$21)</f>
        <v>39374.705413198702</v>
      </c>
      <c r="K27" s="401">
        <f>'Non-Residential TSM UC'!K27*(Inputs!$C$21)</f>
        <v>37994.292061065011</v>
      </c>
      <c r="L27" s="401">
        <f>'Non-Residential TSM UC'!L27*(Inputs!$C$21)</f>
        <v>865.67585029149416</v>
      </c>
      <c r="M27" s="41">
        <f t="shared" si="6"/>
        <v>78234.673324555202</v>
      </c>
      <c r="N27" s="402">
        <f>'Non-Residential TSM UC'!N27*(Inputs!$C$21)</f>
        <v>39689.604854849094</v>
      </c>
      <c r="O27" s="401">
        <f>'Non-Residential TSM UC'!O27*(Inputs!$C$21)</f>
        <v>15830.955025443756</v>
      </c>
      <c r="P27" s="401">
        <f>'Non-Residential TSM UC'!P27*(Inputs!$C$21)</f>
        <v>865.67585029149416</v>
      </c>
      <c r="Q27" s="41">
        <f t="shared" si="3"/>
        <v>56386.235730584347</v>
      </c>
      <c r="R27" s="113"/>
      <c r="S27" s="401">
        <f>'Non-Residential TSM UC'!S27*(Inputs!$C$21)</f>
        <v>3129.9273129422195</v>
      </c>
      <c r="T27" s="401">
        <f>'Non-Residential TSM UC'!T27*(Inputs!$C$21)</f>
        <v>967.82163835260417</v>
      </c>
      <c r="U27" s="41">
        <f t="shared" si="7"/>
        <v>4097.7489512948232</v>
      </c>
      <c r="V27" s="113"/>
      <c r="W27" s="401">
        <f>'Non-Residential TSM UC'!W27*(Inputs!$C$21)</f>
        <v>58921.458906063985</v>
      </c>
      <c r="X27" s="401">
        <f>'Non-Residential TSM UC'!X27*(Inputs!$C$21)</f>
        <v>967.82163835260417</v>
      </c>
      <c r="Y27" s="41">
        <f t="shared" si="8"/>
        <v>59889.280544416586</v>
      </c>
    </row>
    <row r="28" spans="1:28" ht="13">
      <c r="A28" s="124" t="s">
        <v>20</v>
      </c>
      <c r="B28" s="113"/>
      <c r="C28" s="98"/>
      <c r="D28" s="98"/>
      <c r="E28" s="41"/>
      <c r="F28" s="113"/>
      <c r="G28" s="98"/>
      <c r="H28" s="23"/>
      <c r="I28" s="41"/>
      <c r="J28" s="402">
        <f>'Non-Residential TSM UC'!J28*(Inputs!$C$21)</f>
        <v>39374.705413198702</v>
      </c>
      <c r="K28" s="401">
        <f>'Non-Residential TSM UC'!K28*(Inputs!$C$21)</f>
        <v>37994.292061065011</v>
      </c>
      <c r="L28" s="401">
        <f>'Non-Residential TSM UC'!L28*(Inputs!$C$21)</f>
        <v>865.67585029149416</v>
      </c>
      <c r="M28" s="41">
        <f t="shared" si="6"/>
        <v>78234.673324555202</v>
      </c>
      <c r="N28" s="402">
        <f>'Non-Residential TSM UC'!N28*(Inputs!$C$21)</f>
        <v>50459.059403389889</v>
      </c>
      <c r="O28" s="401">
        <f>'Non-Residential TSM UC'!O28*(Inputs!$C$21)</f>
        <v>25329.528040710007</v>
      </c>
      <c r="P28" s="401">
        <f>'Non-Residential TSM UC'!P28*(Inputs!$C$21)</f>
        <v>865.67585029149416</v>
      </c>
      <c r="Q28" s="41">
        <f t="shared" si="3"/>
        <v>76654.263294391378</v>
      </c>
      <c r="R28" s="113"/>
      <c r="S28" s="401">
        <f>'Non-Residential TSM UC'!S28*(Inputs!$C$21)</f>
        <v>3129.9273129422195</v>
      </c>
      <c r="T28" s="401">
        <f>'Non-Residential TSM UC'!T28*(Inputs!$C$21)</f>
        <v>967.82163835260417</v>
      </c>
      <c r="U28" s="41">
        <f t="shared" si="7"/>
        <v>4097.7489512948232</v>
      </c>
      <c r="V28" s="113"/>
      <c r="W28" s="401">
        <f>'Non-Residential TSM UC'!W28*(Inputs!$C$21)</f>
        <v>58921.458906063985</v>
      </c>
      <c r="X28" s="401">
        <f>'Non-Residential TSM UC'!X28*(Inputs!$C$21)</f>
        <v>967.82163835260417</v>
      </c>
      <c r="Y28" s="41">
        <f t="shared" si="8"/>
        <v>59889.280544416586</v>
      </c>
    </row>
    <row r="29" spans="1:28" ht="13">
      <c r="A29" s="124" t="s">
        <v>21</v>
      </c>
      <c r="B29" s="113"/>
      <c r="C29" s="98"/>
      <c r="D29" s="98"/>
      <c r="E29" s="41"/>
      <c r="F29" s="113"/>
      <c r="G29" s="98"/>
      <c r="H29" s="23"/>
      <c r="I29" s="41"/>
      <c r="J29" s="113"/>
      <c r="K29" s="98"/>
      <c r="L29" s="98"/>
      <c r="M29" s="41"/>
      <c r="N29" s="402">
        <f>'Non-Residential TSM UC'!N29*(Inputs!$C$21)</f>
        <v>55108.40293715908</v>
      </c>
      <c r="O29" s="401">
        <f>'Non-Residential TSM UC'!O29*(Inputs!$C$21)</f>
        <v>31661.910050887513</v>
      </c>
      <c r="P29" s="401">
        <f>'Non-Residential TSM UC'!P29*(Inputs!$C$21)</f>
        <v>865.67585029149416</v>
      </c>
      <c r="Q29" s="41">
        <f t="shared" si="3"/>
        <v>87635.988838338075</v>
      </c>
      <c r="R29" s="113"/>
      <c r="S29" s="401">
        <f>'Non-Residential TSM UC'!S29*(Inputs!$C$21)</f>
        <v>3129.9273129422195</v>
      </c>
      <c r="T29" s="401">
        <f>'Non-Residential TSM UC'!T29*(Inputs!$C$21)</f>
        <v>967.82163835260417</v>
      </c>
      <c r="U29" s="41">
        <f t="shared" si="7"/>
        <v>4097.7489512948232</v>
      </c>
      <c r="V29" s="113"/>
      <c r="W29" s="401">
        <f>'Non-Residential TSM UC'!W29*(Inputs!$C$21)</f>
        <v>58921.458906063985</v>
      </c>
      <c r="X29" s="401">
        <f>'Non-Residential TSM UC'!X29*(Inputs!$C$21)</f>
        <v>967.82163835260417</v>
      </c>
      <c r="Y29" s="41">
        <f t="shared" si="8"/>
        <v>59889.280544416586</v>
      </c>
    </row>
    <row r="30" spans="1:28" ht="13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98"/>
      <c r="L30" s="98"/>
      <c r="M30" s="41"/>
      <c r="N30" s="113"/>
      <c r="O30" s="98"/>
      <c r="P30" s="98"/>
      <c r="Q30" s="41"/>
      <c r="R30" s="113"/>
      <c r="S30" s="401">
        <f>'Non-Residential TSM UC'!S30*(Inputs!$C$21)</f>
        <v>3129.9273129422195</v>
      </c>
      <c r="T30" s="401">
        <f>'Non-Residential TSM UC'!T30*(Inputs!$C$21)</f>
        <v>967.82163835260417</v>
      </c>
      <c r="U30" s="41">
        <f t="shared" si="7"/>
        <v>4097.7489512948232</v>
      </c>
      <c r="V30" s="113"/>
      <c r="W30" s="401">
        <f>'Non-Residential TSM UC'!W30*(Inputs!$C$21)</f>
        <v>58921.458906063985</v>
      </c>
      <c r="X30" s="401">
        <f>'Non-Residential TSM UC'!X30*(Inputs!$C$21)</f>
        <v>967.82163835260417</v>
      </c>
      <c r="Y30" s="41">
        <f t="shared" si="8"/>
        <v>59889.280544416586</v>
      </c>
    </row>
    <row r="31" spans="1:28" ht="13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98"/>
      <c r="L31" s="98"/>
      <c r="M31" s="41"/>
      <c r="N31" s="113"/>
      <c r="O31" s="98"/>
      <c r="P31" s="98"/>
      <c r="Q31" s="41"/>
      <c r="R31" s="113"/>
      <c r="S31" s="401">
        <f>'Non-Residential TSM UC'!S31*(Inputs!$C$21)</f>
        <v>7772.9285855999342</v>
      </c>
      <c r="T31" s="401">
        <f>'Non-Residential TSM UC'!T31*(Inputs!$C$21)</f>
        <v>967.82163835260417</v>
      </c>
      <c r="U31" s="41">
        <f t="shared" si="7"/>
        <v>8740.7502239525384</v>
      </c>
      <c r="V31" s="113"/>
      <c r="W31" s="401">
        <f>'Non-Residential TSM UC'!W31*(Inputs!$C$21)</f>
        <v>146326.81415392709</v>
      </c>
      <c r="X31" s="401">
        <f>'Non-Residential TSM UC'!X31*(Inputs!$C$21)</f>
        <v>967.82163835260417</v>
      </c>
      <c r="Y31" s="41">
        <f t="shared" si="8"/>
        <v>147294.6357922797</v>
      </c>
    </row>
    <row r="32" spans="1:28" ht="13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98"/>
      <c r="L32" s="98"/>
      <c r="M32" s="41"/>
      <c r="N32" s="113"/>
      <c r="O32" s="98"/>
      <c r="P32" s="98"/>
      <c r="Q32" s="41"/>
      <c r="R32" s="113"/>
      <c r="S32" s="401">
        <f>'Non-Residential TSM UC'!S32*(Inputs!$C$21)</f>
        <v>7772.9285855999342</v>
      </c>
      <c r="T32" s="401">
        <f>'Non-Residential TSM UC'!T32*(Inputs!$C$21)</f>
        <v>967.82163835260417</v>
      </c>
      <c r="U32" s="41">
        <f t="shared" si="7"/>
        <v>8740.7502239525384</v>
      </c>
      <c r="V32" s="113"/>
      <c r="W32" s="401">
        <f>'Non-Residential TSM UC'!W32*(Inputs!$C$21)</f>
        <v>146326.81415392709</v>
      </c>
      <c r="X32" s="401">
        <f>'Non-Residential TSM UC'!X32*(Inputs!$C$21)</f>
        <v>967.82163835260417</v>
      </c>
      <c r="Y32" s="41">
        <f t="shared" si="8"/>
        <v>147294.6357922797</v>
      </c>
      <c r="AB32" s="31"/>
    </row>
    <row r="33" spans="1:25" ht="13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98"/>
      <c r="L33" s="98"/>
      <c r="M33" s="41"/>
      <c r="N33" s="113"/>
      <c r="O33" s="98"/>
      <c r="P33" s="98"/>
      <c r="Q33" s="41"/>
      <c r="R33" s="113"/>
      <c r="S33" s="401">
        <f>'Non-Residential TSM UC'!S33*(Inputs!$C$21)</f>
        <v>7772.9285855999342</v>
      </c>
      <c r="T33" s="401">
        <f>'Non-Residential TSM UC'!T33*(Inputs!$C$21)</f>
        <v>967.82163835260417</v>
      </c>
      <c r="U33" s="41">
        <f t="shared" si="7"/>
        <v>8740.7502239525384</v>
      </c>
      <c r="V33" s="113"/>
      <c r="W33" s="401">
        <f>'Non-Residential TSM UC'!W33*(Inputs!$C$21)</f>
        <v>146326.81415392709</v>
      </c>
      <c r="X33" s="401">
        <f>'Non-Residential TSM UC'!X33*(Inputs!$C$21)</f>
        <v>967.82163835260417</v>
      </c>
      <c r="Y33" s="41">
        <f t="shared" si="8"/>
        <v>147294.6357922797</v>
      </c>
    </row>
    <row r="34" spans="1:25" ht="13">
      <c r="A34" s="124" t="s">
        <v>106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41"/>
      <c r="R34" s="113"/>
      <c r="S34" s="401">
        <f>'Non-Residential TSM UC'!S34*(Inputs!$C$21)</f>
        <v>7772.9285855999342</v>
      </c>
      <c r="T34" s="401">
        <f>'Non-Residential TSM UC'!T34*(Inputs!$C$21)</f>
        <v>967.82163835260417</v>
      </c>
      <c r="U34" s="41">
        <f t="shared" si="7"/>
        <v>8740.7502239525384</v>
      </c>
      <c r="V34" s="113"/>
      <c r="W34" s="401">
        <f>'Non-Residential TSM UC'!W34*(Inputs!$C$21)</f>
        <v>146326.81415392709</v>
      </c>
      <c r="X34" s="401">
        <f>'Non-Residential TSM UC'!X34*(Inputs!$C$21)</f>
        <v>967.82163835260417</v>
      </c>
      <c r="Y34" s="41">
        <f t="shared" si="8"/>
        <v>147294.6357922797</v>
      </c>
    </row>
    <row r="35" spans="1:25" ht="13">
      <c r="A35" s="124" t="s">
        <v>107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401">
        <f>'Non-Residential TSM UC'!S35*(Inputs!$C$21)</f>
        <v>7772.9285855999342</v>
      </c>
      <c r="T35" s="401">
        <f>'Non-Residential TSM UC'!T35*(Inputs!$C$21)</f>
        <v>967.82163835260417</v>
      </c>
      <c r="U35" s="41">
        <f t="shared" si="7"/>
        <v>8740.7502239525384</v>
      </c>
      <c r="V35" s="113"/>
      <c r="W35" s="401">
        <f>'Non-Residential TSM UC'!W35*(Inputs!$C$21)</f>
        <v>146326.81415392709</v>
      </c>
      <c r="X35" s="401">
        <f>'Non-Residential TSM UC'!X35*(Inputs!$C$21)</f>
        <v>967.82163835260417</v>
      </c>
      <c r="Y35" s="41">
        <f t="shared" si="8"/>
        <v>147294.6357922797</v>
      </c>
    </row>
    <row r="36" spans="1:25" ht="13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401">
        <f>'Non-Residential TSM UC'!S36*(Inputs!$C$21)</f>
        <v>7772.9285855999342</v>
      </c>
      <c r="T36" s="401">
        <f>'Non-Residential TSM UC'!T36*(Inputs!$C$21)</f>
        <v>967.82163835260417</v>
      </c>
      <c r="U36" s="41">
        <f t="shared" si="7"/>
        <v>8740.7502239525384</v>
      </c>
      <c r="V36" s="113"/>
      <c r="W36" s="401">
        <f>'Non-Residential TSM UC'!W36*(Inputs!$C$21)</f>
        <v>146326.81415392709</v>
      </c>
      <c r="X36" s="401">
        <f>'Non-Residential TSM UC'!X36*(Inputs!$C$21)</f>
        <v>967.82163835260417</v>
      </c>
      <c r="Y36" s="41">
        <f t="shared" si="8"/>
        <v>147294.6357922797</v>
      </c>
    </row>
    <row r="37" spans="1:25" ht="13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1">
        <f>'Non-Residential TSM UC'!S37*(Inputs!$C$21)</f>
        <v>7772.9285855999342</v>
      </c>
      <c r="T37" s="401">
        <f>'Non-Residential TSM UC'!T37*(Inputs!$C$21)</f>
        <v>967.82163835260417</v>
      </c>
      <c r="U37" s="41">
        <f t="shared" si="7"/>
        <v>8740.7502239525384</v>
      </c>
      <c r="V37" s="113"/>
      <c r="W37" s="401">
        <f>'Non-Residential TSM UC'!W37*(Inputs!$C$21)</f>
        <v>146326.81415392709</v>
      </c>
      <c r="X37" s="401">
        <f>'Non-Residential TSM UC'!X37*(Inputs!$C$21)</f>
        <v>967.82163835260417</v>
      </c>
      <c r="Y37" s="41">
        <f t="shared" si="8"/>
        <v>147294.6357922797</v>
      </c>
    </row>
    <row r="38" spans="1:25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  <c r="V38" s="202"/>
      <c r="W38" s="203"/>
      <c r="X38" s="28"/>
      <c r="Y38" s="80"/>
    </row>
    <row r="39" spans="1:25" ht="13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414"/>
    </row>
    <row r="40" spans="1:25" ht="13">
      <c r="A40" s="29" t="s">
        <v>327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 ht="13">
      <c r="A41" s="29"/>
      <c r="B41" s="433" t="s">
        <v>388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2"/>
      <c r="W41" s="181"/>
      <c r="X41" s="181"/>
      <c r="Y41" s="434"/>
    </row>
    <row r="42" spans="1:25" ht="13" thickBot="1">
      <c r="A42" s="15"/>
      <c r="B42" s="432" t="s">
        <v>270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2"/>
      <c r="V42" s="28"/>
      <c r="W42" s="422"/>
      <c r="X42" s="422"/>
      <c r="Y42" s="425"/>
    </row>
    <row r="43" spans="1:25"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W43" s="393"/>
      <c r="X43" s="393"/>
      <c r="Y43" s="393"/>
    </row>
    <row r="44" spans="1:25"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W44" s="393"/>
      <c r="X44" s="393"/>
      <c r="Y44" s="393"/>
    </row>
    <row r="45" spans="1:25">
      <c r="B45" s="393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W45" s="393"/>
      <c r="X45" s="393"/>
      <c r="Y45" s="393"/>
    </row>
    <row r="46" spans="1:2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W46" s="393"/>
      <c r="X46" s="393"/>
      <c r="Y46" s="393"/>
    </row>
    <row r="47" spans="1:25" ht="15.5">
      <c r="B47" s="393"/>
      <c r="C47" s="393"/>
      <c r="D47" s="40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W47" s="393"/>
      <c r="X47" s="393"/>
      <c r="Y47" s="393"/>
    </row>
    <row r="48" spans="1:25">
      <c r="B48" s="393"/>
      <c r="C48" s="393"/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W48" s="393"/>
      <c r="X48" s="393"/>
      <c r="Y48" s="393"/>
    </row>
    <row r="49" spans="2:25"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W49" s="393"/>
      <c r="X49" s="393"/>
      <c r="Y49" s="393"/>
    </row>
    <row r="50" spans="2:25">
      <c r="E50" s="392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W50" s="393"/>
      <c r="X50" s="393"/>
      <c r="Y50" s="393"/>
    </row>
    <row r="51" spans="2:25"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W51" s="393"/>
      <c r="X51" s="393"/>
      <c r="Y51" s="393"/>
    </row>
    <row r="52" spans="2:25">
      <c r="I52" s="392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W52" s="393"/>
      <c r="X52" s="393"/>
      <c r="Y52" s="393"/>
    </row>
    <row r="53" spans="2:25">
      <c r="I53" s="392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W53" s="393"/>
      <c r="X53" s="393"/>
      <c r="Y53" s="393"/>
    </row>
    <row r="54" spans="2:25">
      <c r="I54" s="392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W54" s="393"/>
      <c r="X54" s="393"/>
      <c r="Y54" s="393"/>
    </row>
    <row r="55" spans="2:25">
      <c r="I55" s="392"/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W55" s="393"/>
      <c r="X55" s="393"/>
      <c r="Y55" s="393"/>
    </row>
    <row r="56" spans="2:25">
      <c r="I56" s="392"/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  <c r="W56" s="393"/>
      <c r="X56" s="393"/>
      <c r="Y56" s="393"/>
    </row>
    <row r="57" spans="2:25">
      <c r="I57" s="392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W57" s="393"/>
      <c r="X57" s="393"/>
      <c r="Y57" s="393"/>
    </row>
    <row r="58" spans="2:25">
      <c r="I58" s="392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W58" s="393"/>
      <c r="X58" s="393"/>
      <c r="Y58" s="393"/>
    </row>
    <row r="59" spans="2:25">
      <c r="I59" s="392"/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W59" s="393"/>
      <c r="X59" s="393"/>
      <c r="Y59" s="393"/>
    </row>
    <row r="60" spans="2:25">
      <c r="I60" s="392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W60" s="393"/>
      <c r="X60" s="393"/>
      <c r="Y60" s="393"/>
    </row>
    <row r="61" spans="2:25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W61" s="393"/>
      <c r="X61" s="393"/>
      <c r="Y61" s="393"/>
    </row>
    <row r="62" spans="2:25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  <c r="W62" s="393"/>
      <c r="X62" s="393"/>
      <c r="Y62" s="393"/>
    </row>
    <row r="63" spans="2:25">
      <c r="M63" s="392"/>
      <c r="N63" s="393"/>
      <c r="O63" s="393"/>
      <c r="P63" s="393"/>
      <c r="Q63" s="393"/>
      <c r="R63" s="393"/>
      <c r="S63" s="393"/>
      <c r="T63" s="393"/>
      <c r="U63" s="393"/>
      <c r="W63" s="393"/>
      <c r="X63" s="393"/>
      <c r="Y63" s="393"/>
    </row>
    <row r="64" spans="2:25">
      <c r="M64" s="392"/>
      <c r="Q64" s="392"/>
      <c r="R64" s="393"/>
      <c r="S64" s="393"/>
      <c r="T64" s="393"/>
      <c r="U64" s="393"/>
      <c r="W64" s="393"/>
      <c r="X64" s="393"/>
      <c r="Y64" s="393"/>
    </row>
    <row r="65" spans="17:25">
      <c r="Q65" s="392"/>
      <c r="R65" s="393"/>
      <c r="S65" s="393"/>
      <c r="T65" s="393"/>
      <c r="U65" s="393"/>
      <c r="W65" s="393"/>
      <c r="X65" s="393"/>
      <c r="Y65" s="393"/>
    </row>
    <row r="66" spans="17:25">
      <c r="Q66" s="392"/>
      <c r="R66" s="393"/>
      <c r="S66" s="393"/>
      <c r="T66" s="393"/>
      <c r="U66" s="393"/>
      <c r="W66" s="393"/>
      <c r="X66" s="393"/>
      <c r="Y66" s="393"/>
    </row>
    <row r="67" spans="17:25">
      <c r="R67" s="393"/>
      <c r="S67" s="393"/>
      <c r="T67" s="393"/>
      <c r="U67" s="393"/>
      <c r="W67" s="393"/>
      <c r="X67" s="393"/>
      <c r="Y67" s="393"/>
    </row>
    <row r="68" spans="17:25">
      <c r="R68" s="393"/>
      <c r="S68" s="393"/>
      <c r="T68" s="393"/>
      <c r="U68" s="393"/>
      <c r="W68" s="393"/>
      <c r="X68" s="393"/>
      <c r="Y68" s="393"/>
    </row>
    <row r="69" spans="17:25">
      <c r="R69" s="393"/>
      <c r="S69" s="393"/>
      <c r="T69" s="393"/>
      <c r="U69" s="393"/>
      <c r="W69" s="393"/>
      <c r="X69" s="393"/>
      <c r="Y69" s="393"/>
    </row>
    <row r="70" spans="17:25">
      <c r="R70" s="393"/>
      <c r="S70" s="393"/>
      <c r="T70" s="393"/>
      <c r="U70" s="393"/>
      <c r="W70" s="393"/>
      <c r="X70" s="393"/>
      <c r="Y70" s="393"/>
    </row>
    <row r="71" spans="17:25">
      <c r="R71" s="393"/>
      <c r="S71" s="393"/>
      <c r="T71" s="393"/>
      <c r="U71" s="393"/>
      <c r="W71" s="393"/>
      <c r="X71" s="393"/>
      <c r="Y71" s="393"/>
    </row>
    <row r="72" spans="17:25">
      <c r="U72" s="392"/>
    </row>
    <row r="73" spans="17:25">
      <c r="U73" s="392"/>
    </row>
  </sheetData>
  <mergeCells count="10">
    <mergeCell ref="A1:Y1"/>
    <mergeCell ref="V2:Y2"/>
    <mergeCell ref="V3:Y3"/>
    <mergeCell ref="R3:U3"/>
    <mergeCell ref="R2:U2"/>
    <mergeCell ref="B3:E3"/>
    <mergeCell ref="F3:I3"/>
    <mergeCell ref="J3:M3"/>
    <mergeCell ref="N3:Q3"/>
    <mergeCell ref="B2:Q2"/>
  </mergeCells>
  <phoneticPr fontId="0" type="noConversion"/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B450-90CE-4190-8216-043F716E7318}">
  <sheetPr>
    <tabColor theme="9"/>
    <pageSetUpPr fitToPage="1"/>
  </sheetPr>
  <dimension ref="A1:N56"/>
  <sheetViews>
    <sheetView zoomScaleNormal="100" workbookViewId="0">
      <selection activeCell="L31" sqref="L31"/>
    </sheetView>
  </sheetViews>
  <sheetFormatPr defaultRowHeight="12.5"/>
  <cols>
    <col min="1" max="1" width="40.81640625" customWidth="1"/>
    <col min="2" max="2" width="10.26953125" customWidth="1"/>
    <col min="3" max="4" width="10.26953125" style="12" customWidth="1"/>
    <col min="5" max="5" width="10.81640625" style="12" customWidth="1"/>
    <col min="6" max="6" width="9.26953125" style="12" customWidth="1"/>
    <col min="7" max="7" width="10.26953125" style="12" customWidth="1"/>
    <col min="8" max="10" width="10.26953125" customWidth="1"/>
    <col min="11" max="11" width="8.7265625" customWidth="1"/>
  </cols>
  <sheetData>
    <row r="1" spans="1:14" ht="18.5" thickBot="1">
      <c r="A1" s="735" t="s">
        <v>353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4" ht="13.5" thickBot="1">
      <c r="A2" s="590"/>
      <c r="B2" s="736" t="s">
        <v>0</v>
      </c>
      <c r="C2" s="737"/>
      <c r="D2" s="738"/>
      <c r="E2" s="737" t="s">
        <v>1</v>
      </c>
      <c r="F2" s="737"/>
      <c r="G2" s="738"/>
      <c r="H2" s="737" t="s">
        <v>351</v>
      </c>
      <c r="I2" s="737"/>
      <c r="J2" s="738"/>
    </row>
    <row r="3" spans="1:14" ht="13.5" thickBot="1">
      <c r="A3" s="591" t="s">
        <v>47</v>
      </c>
      <c r="B3" s="587" t="s">
        <v>185</v>
      </c>
      <c r="C3" s="588" t="s">
        <v>133</v>
      </c>
      <c r="D3" s="589" t="s">
        <v>128</v>
      </c>
      <c r="E3" s="588" t="s">
        <v>185</v>
      </c>
      <c r="F3" s="588" t="s">
        <v>133</v>
      </c>
      <c r="G3" s="589" t="s">
        <v>129</v>
      </c>
      <c r="H3" s="588" t="s">
        <v>185</v>
      </c>
      <c r="I3" s="588" t="s">
        <v>133</v>
      </c>
      <c r="J3" s="589" t="s">
        <v>2</v>
      </c>
    </row>
    <row r="4" spans="1:14" ht="13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4" ht="13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4" ht="13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4" ht="13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4" ht="13">
      <c r="A8" s="36" t="s">
        <v>53</v>
      </c>
      <c r="B8" s="115">
        <f>('Resid TSM Sum by Rate Schedule'!L8*'Marg Cust Cost by Rate Schedule'!$AA$3+'Sm Comm TSM Summary'!F8*'Marg Cust Cost by Rate Schedule'!$U$14+'Agric TSM Summary'!B8*'Marg Cust Cost by Rate Schedule'!$S$61)/'Marg Cust Cost by Rate Schedule'!$Q$84</f>
        <v>2873.2166365418771</v>
      </c>
      <c r="C8" s="134">
        <f>('M-L C&amp;I TSM Summary'!E8*'Marg Cust Cost by Rate Schedule'!$U$37+'Agric TSM Summary'!C8*'Marg Cust Cost by Rate Schedule'!$S$62)/'Marg Cust Cost by Rate Schedule'!$Q$85</f>
        <v>12538.540856580365</v>
      </c>
      <c r="D8" s="40">
        <f>(B8*'Marg Cust Cost by Rate Schedule'!$Q$84+'School Class TSM Summary '!C8*'Marg Cust Cost by Rate Schedule'!$Q$85)/'Marg Cust Cost by Rate Schedule'!$Q$86</f>
        <v>8522.1858338668753</v>
      </c>
      <c r="E8" s="115"/>
      <c r="F8" s="134">
        <f>'M-L C&amp;I TSM Summary'!I8</f>
        <v>0</v>
      </c>
      <c r="G8" s="40">
        <f>(E8*'Marg Cust Cost by Rate Schedule'!$Q$88+F8*'Marg Cust Cost by Rate Schedule'!$Q$89)/'Marg Cust Cost by Rate Schedule'!$Q$90</f>
        <v>0</v>
      </c>
      <c r="H8" s="115">
        <f>B8</f>
        <v>2873.2166365418771</v>
      </c>
      <c r="I8" s="134">
        <f>(C8*'Marg Cust Cost by Rate Schedule'!$Q$85+'School Class TSM Summary '!F8*'Marg Cust Cost by Rate Schedule'!$Q$89)/'Marg Cust Cost by Rate Schedule'!$Q$94</f>
        <v>11775.100288429445</v>
      </c>
      <c r="J8" s="44">
        <f>(H8*'Marg Cust Cost by Rate Schedule'!$Q$93+'School Class TSM Summary '!I8*'Marg Cust Cost by Rate Schedule'!$Q$94)/'Marg Cust Cost by Rate Schedule'!$Q$95</f>
        <v>8211.0416728531727</v>
      </c>
      <c r="N8" s="31"/>
    </row>
    <row r="9" spans="1:14" ht="13">
      <c r="A9" s="36" t="s">
        <v>51</v>
      </c>
      <c r="B9" s="115">
        <f>('Resid TSM Sum by Rate Schedule'!L9*'Marg Cust Cost by Rate Schedule'!$AA$3+'Sm Comm TSM Summary'!F9*'Marg Cust Cost by Rate Schedule'!$U$14+'Agric TSM Summary'!B9*'Marg Cust Cost by Rate Schedule'!$S$61)/'Marg Cust Cost by Rate Schedule'!$Q$84</f>
        <v>495.2140600716674</v>
      </c>
      <c r="C9" s="134">
        <f>('M-L C&amp;I TSM Summary'!E9*'Marg Cust Cost by Rate Schedule'!$U$37+'Agric TSM Summary'!C9*'Marg Cust Cost by Rate Schedule'!$S$62)/'Marg Cust Cost by Rate Schedule'!$Q$85</f>
        <v>2527.6210413834719</v>
      </c>
      <c r="D9" s="40">
        <f>(B9*'Marg Cust Cost by Rate Schedule'!$Q$84+'School Class TSM Summary '!C9*'Marg Cust Cost by Rate Schedule'!$Q$85)/'Marg Cust Cost by Rate Schedule'!$Q$86</f>
        <v>1683.0691358544175</v>
      </c>
      <c r="E9" s="115"/>
      <c r="F9" s="134">
        <f>'M-L C&amp;I TSM Summary'!I9</f>
        <v>3129.9273129422199</v>
      </c>
      <c r="G9" s="40">
        <f>(E9*'Marg Cust Cost by Rate Schedule'!$Q$88+F9*'Marg Cust Cost by Rate Schedule'!$Q$89)/'Marg Cust Cost by Rate Schedule'!$Q$90</f>
        <v>3129.9273129422199</v>
      </c>
      <c r="H9" s="115">
        <f t="shared" ref="H9:H10" si="0">B9</f>
        <v>495.2140600716674</v>
      </c>
      <c r="I9" s="134">
        <f>(C9*'Marg Cust Cost by Rate Schedule'!$Q$85+'School Class TSM Summary '!F9*'Marg Cust Cost by Rate Schedule'!$Q$89)/'Marg Cust Cost by Rate Schedule'!$Q$94</f>
        <v>2564.2939722626943</v>
      </c>
      <c r="J9" s="44">
        <f>(H9*'Marg Cust Cost by Rate Schedule'!$Q$93+'School Class TSM Summary '!I9*'Marg Cust Cost by Rate Schedule'!$Q$94)/'Marg Cust Cost by Rate Schedule'!$Q$95</f>
        <v>1735.8937846466085</v>
      </c>
      <c r="N9" s="31"/>
    </row>
    <row r="10" spans="1:14" ht="13">
      <c r="A10" s="36" t="s">
        <v>52</v>
      </c>
      <c r="B10" s="115">
        <f>('Resid TSM Sum by Rate Schedule'!L10*'Marg Cust Cost by Rate Schedule'!$AA$3+'Sm Comm TSM Summary'!F10*'Marg Cust Cost by Rate Schedule'!$U$14+'Agric TSM Summary'!B10*'Marg Cust Cost by Rate Schedule'!$S$61)/'Marg Cust Cost by Rate Schedule'!$Q$84</f>
        <v>277.29401519250047</v>
      </c>
      <c r="C10" s="134">
        <f>('M-L C&amp;I TSM Summary'!E10*'Marg Cust Cost by Rate Schedule'!$U$37+'Agric TSM Summary'!C10*'Marg Cust Cost by Rate Schedule'!$S$62)/'Marg Cust Cost by Rate Schedule'!$Q$85</f>
        <v>666.74767624479352</v>
      </c>
      <c r="D10" s="40">
        <f>(B10*'Marg Cust Cost by Rate Schedule'!$Q$84+'School Class TSM Summary '!C10*'Marg Cust Cost by Rate Schedule'!$Q$85)/'Marg Cust Cost by Rate Schedule'!$Q$86</f>
        <v>504.91304637913288</v>
      </c>
      <c r="E10" s="115"/>
      <c r="F10" s="134">
        <f>'M-L C&amp;I TSM Summary'!I10</f>
        <v>962.62778472237801</v>
      </c>
      <c r="G10" s="40">
        <f>(E10*'Marg Cust Cost by Rate Schedule'!$Q$88+F10*'Marg Cust Cost by Rate Schedule'!$Q$89)/'Marg Cust Cost by Rate Schedule'!$Q$90</f>
        <v>962.62778472237801</v>
      </c>
      <c r="H10" s="115">
        <f t="shared" si="0"/>
        <v>277.29401519250047</v>
      </c>
      <c r="I10" s="134">
        <f>(C10*'Marg Cust Cost by Rate Schedule'!$Q$85+'School Class TSM Summary '!F10*'Marg Cust Cost by Rate Schedule'!$Q$89)/'Marg Cust Cost by Rate Schedule'!$Q$94</f>
        <v>684.76308016654525</v>
      </c>
      <c r="J10" s="44">
        <f>(H10*'Marg Cust Cost by Rate Schedule'!$Q$93+'School Class TSM Summary '!I10*'Marg Cust Cost by Rate Schedule'!$Q$94)/'Marg Cust Cost by Rate Schedule'!$Q$95</f>
        <v>521.62416615775385</v>
      </c>
      <c r="N10" s="31"/>
    </row>
    <row r="11" spans="1:14" ht="13">
      <c r="A11" s="38"/>
      <c r="B11" s="114"/>
      <c r="C11" s="30"/>
      <c r="D11" s="40"/>
      <c r="E11" s="114"/>
      <c r="F11" s="30"/>
      <c r="G11" s="40"/>
      <c r="H11" s="114"/>
      <c r="I11" s="30"/>
      <c r="J11" s="40"/>
      <c r="N11" s="31"/>
    </row>
    <row r="12" spans="1:14" ht="13">
      <c r="A12" s="36" t="s">
        <v>35</v>
      </c>
      <c r="B12" s="114">
        <f t="shared" ref="B12:J12" si="1">SUM(B8:B10)</f>
        <v>3645.724711806045</v>
      </c>
      <c r="C12" s="30">
        <f t="shared" si="1"/>
        <v>15732.90957420863</v>
      </c>
      <c r="D12" s="40">
        <f t="shared" si="1"/>
        <v>10710.168016100426</v>
      </c>
      <c r="E12" s="114"/>
      <c r="F12" s="30">
        <f t="shared" ref="F12:G12" si="2">SUM(F8:F10)</f>
        <v>4092.5550976645982</v>
      </c>
      <c r="G12" s="40">
        <f t="shared" si="2"/>
        <v>4092.5550976645982</v>
      </c>
      <c r="H12" s="114">
        <f t="shared" si="1"/>
        <v>3645.724711806045</v>
      </c>
      <c r="I12" s="30">
        <f t="shared" si="1"/>
        <v>15024.157340858685</v>
      </c>
      <c r="J12" s="40">
        <f t="shared" si="1"/>
        <v>10468.559623657535</v>
      </c>
      <c r="N12" s="31"/>
    </row>
    <row r="13" spans="1:14" ht="13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4" ht="13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4" ht="13">
      <c r="A15" s="47">
        <f>Inputs!C3</f>
        <v>2.9094935671404847E-2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4" ht="13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3" ht="13">
      <c r="A17" s="47">
        <f>Inputs!C4</f>
        <v>1.99475E-2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3" ht="13">
      <c r="A18" s="94" t="s">
        <v>92</v>
      </c>
      <c r="B18" s="114">
        <f t="shared" ref="B18:J20" si="3">(B8*(1+$A$15)*(1+$A$17))</f>
        <v>3015.7937108809024</v>
      </c>
      <c r="C18" s="30">
        <f t="shared" si="3"/>
        <v>13160.738448323116</v>
      </c>
      <c r="D18" s="40">
        <f t="shared" si="3"/>
        <v>8945.0806158728192</v>
      </c>
      <c r="E18" s="114"/>
      <c r="F18" s="30">
        <f t="shared" ref="F18:G18" si="4">(F8*(1+$A$15)*(1+$A$17))</f>
        <v>0</v>
      </c>
      <c r="G18" s="30">
        <f t="shared" si="4"/>
        <v>0</v>
      </c>
      <c r="H18" s="114">
        <f t="shared" si="3"/>
        <v>3015.7937108809024</v>
      </c>
      <c r="I18" s="30">
        <f t="shared" si="3"/>
        <v>12359.413816278675</v>
      </c>
      <c r="J18" s="40">
        <f t="shared" si="3"/>
        <v>8618.4966082388491</v>
      </c>
    </row>
    <row r="19" spans="1:13" ht="13">
      <c r="A19" s="94" t="s">
        <v>51</v>
      </c>
      <c r="B19" s="114">
        <f t="shared" si="3"/>
        <v>519.7879717491204</v>
      </c>
      <c r="C19" s="30">
        <f t="shared" si="3"/>
        <v>2653.0486922382156</v>
      </c>
      <c r="D19" s="40">
        <f t="shared" si="3"/>
        <v>1766.5877505834662</v>
      </c>
      <c r="E19" s="114"/>
      <c r="F19" s="30">
        <f t="shared" ref="F19:G19" si="5">(F9*(1+$A$15)*(1+$A$17))</f>
        <v>3285.2430916056101</v>
      </c>
      <c r="G19" s="30">
        <f t="shared" si="5"/>
        <v>3285.2430916056101</v>
      </c>
      <c r="H19" s="114">
        <f t="shared" si="3"/>
        <v>519.7879717491204</v>
      </c>
      <c r="I19" s="30">
        <f t="shared" si="3"/>
        <v>2691.541436884941</v>
      </c>
      <c r="J19" s="40">
        <f t="shared" si="3"/>
        <v>1822.0337067222699</v>
      </c>
    </row>
    <row r="20" spans="1:13" ht="13">
      <c r="A20" s="94" t="s">
        <v>52</v>
      </c>
      <c r="B20" s="114">
        <f t="shared" si="3"/>
        <v>291.05412256312053</v>
      </c>
      <c r="C20" s="30">
        <f t="shared" si="3"/>
        <v>699.83356743458603</v>
      </c>
      <c r="D20" s="40">
        <f t="shared" si="3"/>
        <v>529.96824898125385</v>
      </c>
      <c r="E20" s="114"/>
      <c r="F20" s="30">
        <f t="shared" ref="F20:G20" si="6">(F10*(1+$A$15)*(1+$A$17))</f>
        <v>1010.3960774009149</v>
      </c>
      <c r="G20" s="30">
        <f t="shared" si="6"/>
        <v>1010.3960774009149</v>
      </c>
      <c r="H20" s="114">
        <f t="shared" si="3"/>
        <v>291.05412256312053</v>
      </c>
      <c r="I20" s="30">
        <f t="shared" si="3"/>
        <v>718.74294626638527</v>
      </c>
      <c r="J20" s="40">
        <f t="shared" si="3"/>
        <v>547.50862142974393</v>
      </c>
    </row>
    <row r="21" spans="1:13" ht="13">
      <c r="A21" s="36"/>
      <c r="B21" s="119"/>
      <c r="C21" s="73"/>
      <c r="D21" s="75"/>
      <c r="E21" s="119"/>
      <c r="F21" s="73"/>
      <c r="G21" s="73"/>
      <c r="H21" s="119"/>
      <c r="I21" s="73"/>
      <c r="J21" s="75"/>
    </row>
    <row r="22" spans="1:13" ht="13">
      <c r="A22" s="36" t="s">
        <v>35</v>
      </c>
      <c r="B22" s="119">
        <f t="shared" ref="B22:J22" si="7">B18+B19+B20</f>
        <v>3826.6358051931434</v>
      </c>
      <c r="C22" s="73">
        <f t="shared" si="7"/>
        <v>16513.620707995917</v>
      </c>
      <c r="D22" s="75">
        <f t="shared" si="7"/>
        <v>11241.636615437539</v>
      </c>
      <c r="E22" s="119"/>
      <c r="F22" s="73">
        <f t="shared" ref="F22" si="8">F18+F19+F20</f>
        <v>4295.6391690065248</v>
      </c>
      <c r="G22" s="73">
        <f t="shared" ref="G22" si="9">G18+G19+G20</f>
        <v>4295.6391690065248</v>
      </c>
      <c r="H22" s="119">
        <f t="shared" si="7"/>
        <v>3826.6358051931434</v>
      </c>
      <c r="I22" s="73">
        <f t="shared" si="7"/>
        <v>15769.698199430002</v>
      </c>
      <c r="J22" s="75">
        <f t="shared" si="7"/>
        <v>10988.038936390863</v>
      </c>
    </row>
    <row r="23" spans="1:13" ht="13">
      <c r="A23" s="36"/>
      <c r="B23" s="114"/>
      <c r="C23" s="30"/>
      <c r="D23" s="40"/>
      <c r="E23" s="114"/>
      <c r="F23" s="30"/>
      <c r="G23" s="30"/>
      <c r="H23" s="114"/>
      <c r="I23" s="30"/>
      <c r="J23" s="40"/>
    </row>
    <row r="24" spans="1:13" ht="13">
      <c r="A24" s="713" t="str">
        <f>'Resid TSM Sum by Rate Schedule'!A25</f>
        <v>Annualized Transformer Cost at 8.05%</v>
      </c>
      <c r="B24" s="119">
        <f>B18*Inputs!$C$5</f>
        <v>242.70704432872517</v>
      </c>
      <c r="C24" s="73">
        <f>C18*Inputs!$C$5</f>
        <v>1059.1586282746443</v>
      </c>
      <c r="D24" s="75">
        <f>D18*Inputs!$C$5</f>
        <v>719.88812422004605</v>
      </c>
      <c r="E24" s="119"/>
      <c r="F24" s="73">
        <f>F18*Inputs!$C$5</f>
        <v>0</v>
      </c>
      <c r="G24" s="73">
        <f>G18*Inputs!$C$5</f>
        <v>0</v>
      </c>
      <c r="H24" s="119">
        <f>H18*Inputs!$C$5</f>
        <v>242.70704432872517</v>
      </c>
      <c r="I24" s="73">
        <f>I18*Inputs!$C$5</f>
        <v>994.66909363253501</v>
      </c>
      <c r="J24" s="75">
        <f>J18*Inputs!$C$5</f>
        <v>693.60508008082411</v>
      </c>
    </row>
    <row r="25" spans="1:13" ht="13">
      <c r="A25" s="713" t="str">
        <f>'Resid TSM Sum by Rate Schedule'!A26</f>
        <v>Annualized Services Cost at 7.08%</v>
      </c>
      <c r="B25" s="119">
        <f>B19*Inputs!$C$6</f>
        <v>36.788024857536683</v>
      </c>
      <c r="C25" s="73">
        <f>C19*Inputs!$C$6</f>
        <v>187.76968022150047</v>
      </c>
      <c r="D25" s="75">
        <f>D19*Inputs!$C$6</f>
        <v>125.03035393987903</v>
      </c>
      <c r="E25" s="119"/>
      <c r="F25" s="73">
        <f>F19*Inputs!$C$6</f>
        <v>232.51327673155674</v>
      </c>
      <c r="G25" s="73">
        <f>G19*Inputs!$C$6</f>
        <v>232.51327673155674</v>
      </c>
      <c r="H25" s="119">
        <f>H19*Inputs!$C$6</f>
        <v>36.788024857536683</v>
      </c>
      <c r="I25" s="73">
        <f>I19*Inputs!$C$6</f>
        <v>190.49400653119434</v>
      </c>
      <c r="J25" s="75">
        <f>J19*Inputs!$C$6</f>
        <v>128.95454480912966</v>
      </c>
    </row>
    <row r="26" spans="1:13" ht="16">
      <c r="A26" s="713" t="str">
        <f>'Resid TSM Sum by Rate Schedule'!A27</f>
        <v>Annualized Meter Cost at 10.78%</v>
      </c>
      <c r="B26" s="459">
        <f>B20*Inputs!$C$7</f>
        <v>31.36586935628565</v>
      </c>
      <c r="C26" s="458">
        <f>C20*Inputs!$C$7</f>
        <v>75.418578695912785</v>
      </c>
      <c r="D26" s="457">
        <f>D20*Inputs!$C$7</f>
        <v>57.112796459086347</v>
      </c>
      <c r="E26" s="459"/>
      <c r="F26" s="458">
        <f>F20*Inputs!$C$7</f>
        <v>108.88679769511799</v>
      </c>
      <c r="G26" s="458">
        <f>G20*Inputs!$C$7</f>
        <v>108.88679769511799</v>
      </c>
      <c r="H26" s="459">
        <f>H20*Inputs!$C$7</f>
        <v>31.36586935628565</v>
      </c>
      <c r="I26" s="458">
        <f>I20*Inputs!$C$7</f>
        <v>77.45637531196347</v>
      </c>
      <c r="J26" s="457">
        <f>J20*Inputs!$C$7</f>
        <v>59.003060118075126</v>
      </c>
    </row>
    <row r="27" spans="1:13" ht="13">
      <c r="A27" s="86" t="s">
        <v>275</v>
      </c>
      <c r="B27" s="119">
        <f>SUM(B24:B26)</f>
        <v>310.8609385425475</v>
      </c>
      <c r="C27" s="73">
        <f t="shared" ref="C27:J27" si="10">SUM(C24:C26)</f>
        <v>1322.3468871920577</v>
      </c>
      <c r="D27" s="75">
        <f t="shared" si="10"/>
        <v>902.03127461901147</v>
      </c>
      <c r="E27" s="119"/>
      <c r="F27" s="73">
        <f t="shared" ref="F27" si="11">SUM(F24:F26)</f>
        <v>341.40007442667473</v>
      </c>
      <c r="G27" s="73">
        <f t="shared" ref="G27" si="12">SUM(G24:G26)</f>
        <v>341.40007442667473</v>
      </c>
      <c r="H27" s="119">
        <f t="shared" si="10"/>
        <v>310.8609385425475</v>
      </c>
      <c r="I27" s="73">
        <f t="shared" si="10"/>
        <v>1262.6194754756928</v>
      </c>
      <c r="J27" s="75">
        <f t="shared" si="10"/>
        <v>881.56268500802889</v>
      </c>
    </row>
    <row r="28" spans="1:13" ht="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3" ht="13">
      <c r="A29" s="36" t="s">
        <v>50</v>
      </c>
      <c r="B29" s="115">
        <f>('Resid TSM Sum by Rate Schedule'!L30*'Marg Cust Cost by Rate Schedule'!$AA$3+'Sm Comm TSM Summary'!F30*'Marg Cust Cost by Rate Schedule'!$U$14+'Agric TSM Summary'!B29*'Marg Cust Cost by Rate Schedule'!$S$61)/'Marg Cust Cost by Rate Schedule'!$Q$84</f>
        <v>39.770629105539385</v>
      </c>
      <c r="C29" s="134">
        <f>('M-L C&amp;I TSM Summary'!B29*'Marg Cust Cost by Rate Schedule'!$U$37+'Agric TSM Summary'!C29*'Marg Cust Cost by Rate Schedule'!$S$62)/'Marg Cust Cost by Rate Schedule'!$Q$85</f>
        <v>170.73873673833748</v>
      </c>
      <c r="D29" s="40">
        <f>(B29*'Marg Cust Cost by Rate Schedule'!$Q$84+'School Class TSM Summary '!C29*'Marg Cust Cost by Rate Schedule'!$Q$85)/'Marg Cust Cost by Rate Schedule'!$Q$86</f>
        <v>116.31589432445156</v>
      </c>
      <c r="E29" s="115"/>
      <c r="F29" s="134">
        <f>'M-L C&amp;I TSM Summary'!I29</f>
        <v>44.446595412554721</v>
      </c>
      <c r="G29" s="40">
        <f>(E29*'Marg Cust Cost by Rate Schedule'!$Q$88+F29*'Marg Cust Cost by Rate Schedule'!$Q$89)/'Marg Cust Cost by Rate Schedule'!$Q$90</f>
        <v>44.446595412554721</v>
      </c>
      <c r="H29" s="119">
        <f>B29</f>
        <v>39.770629105539385</v>
      </c>
      <c r="I29" s="134">
        <f>(C29*'Marg Cust Cost by Rate Schedule'!$Q$85+'School Class TSM Summary '!F29*'Marg Cust Cost by Rate Schedule'!$Q$89)/'Marg Cust Cost by Rate Schedule'!$Q$94</f>
        <v>163.04912235420829</v>
      </c>
      <c r="J29" s="44">
        <f>(H29*'Marg Cust Cost by Rate Schedule'!$Q$93+'School Class TSM Summary '!I29*'Marg Cust Cost by Rate Schedule'!$Q$94)/'Marg Cust Cost by Rate Schedule'!$Q$95</f>
        <v>113.69195333695038</v>
      </c>
      <c r="L29" s="31"/>
      <c r="M29" s="31"/>
    </row>
    <row r="30" spans="1:13" ht="13">
      <c r="A30" s="11"/>
      <c r="B30" s="10"/>
      <c r="C30" s="27"/>
      <c r="D30" s="81"/>
      <c r="E30" s="10"/>
      <c r="F30" s="27"/>
      <c r="G30" s="81"/>
      <c r="H30" s="119"/>
      <c r="I30" s="134"/>
      <c r="J30" s="75"/>
      <c r="L30" s="31"/>
      <c r="M30" s="31"/>
    </row>
    <row r="31" spans="1:13" ht="13">
      <c r="A31" s="36" t="s">
        <v>57</v>
      </c>
      <c r="B31" s="115">
        <f>('Resid TSM Sum by Rate Schedule'!L32*'Marg Cust Cost by Rate Schedule'!$AA$3+'Sm Comm TSM Summary'!F32*'Marg Cust Cost by Rate Schedule'!$U$14+'Agric TSM Summary'!B31*'Marg Cust Cost by Rate Schedule'!$S$61)/'Marg Cust Cost by Rate Schedule'!$Q$84</f>
        <v>52.793986227617332</v>
      </c>
      <c r="C31" s="134">
        <f>('M-L C&amp;I TSM Summary'!B31*'Marg Cust Cost by Rate Schedule'!$U$37+'Agric TSM Summary'!C31*'Marg Cust Cost by Rate Schedule'!$S$62)/'Marg Cust Cost by Rate Schedule'!$Q$85</f>
        <v>447.53400682352839</v>
      </c>
      <c r="D31" s="40">
        <f>(B31*'Marg Cust Cost by Rate Schedule'!$Q$84+'School Class TSM Summary '!C31*'Marg Cust Cost by Rate Schedule'!$Q$85)/'Marg Cust Cost by Rate Schedule'!$Q$86</f>
        <v>283.5026687852789</v>
      </c>
      <c r="E31" s="161"/>
      <c r="F31" s="134">
        <f>'M-L C&amp;I TSM Summary'!I31</f>
        <v>447.86258547437512</v>
      </c>
      <c r="G31" s="40">
        <f>(E31*'Marg Cust Cost by Rate Schedule'!$Q$88+F31*'Marg Cust Cost by Rate Schedule'!$Q$89)/'Marg Cust Cost by Rate Schedule'!$Q$90</f>
        <v>447.86258547437512</v>
      </c>
      <c r="H31" s="119">
        <f t="shared" ref="H31" si="13">B31</f>
        <v>52.793986227617332</v>
      </c>
      <c r="I31" s="134">
        <f>(C31*'Marg Cust Cost by Rate Schedule'!$Q$85+'School Class TSM Summary '!F31*'Marg Cust Cost by Rate Schedule'!$Q$89)/'Marg Cust Cost by Rate Schedule'!$Q$94</f>
        <v>447.55401316037046</v>
      </c>
      <c r="J31" s="44">
        <f>(H31*'Marg Cust Cost by Rate Schedule'!$Q$93+'School Class TSM Summary '!I31*'Marg Cust Cost by Rate Schedule'!$Q$94)/'Marg Cust Cost by Rate Schedule'!$Q$95</f>
        <v>289.5034330703387</v>
      </c>
      <c r="L31" s="31"/>
      <c r="M31" s="31"/>
    </row>
    <row r="32" spans="1:13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  <c r="L32" s="31"/>
    </row>
    <row r="33" spans="1:12" ht="13.5" thickBot="1">
      <c r="A33" s="278" t="s">
        <v>355</v>
      </c>
      <c r="B33" s="279">
        <f t="shared" ref="B33:J33" si="14">B27+B29+B31</f>
        <v>403.42555387570422</v>
      </c>
      <c r="C33" s="280">
        <f t="shared" si="14"/>
        <v>1940.6196307539237</v>
      </c>
      <c r="D33" s="291">
        <f t="shared" si="14"/>
        <v>1301.8498377287419</v>
      </c>
      <c r="E33" s="279"/>
      <c r="F33" s="280">
        <f t="shared" ref="F33:G33" si="15">F27+F29+F31</f>
        <v>833.70925531360456</v>
      </c>
      <c r="G33" s="291">
        <f t="shared" si="15"/>
        <v>833.70925531360456</v>
      </c>
      <c r="H33" s="279">
        <f t="shared" si="14"/>
        <v>403.42555387570422</v>
      </c>
      <c r="I33" s="280">
        <f t="shared" si="14"/>
        <v>1873.2226109902715</v>
      </c>
      <c r="J33" s="291">
        <f t="shared" si="14"/>
        <v>1284.758071415318</v>
      </c>
      <c r="L33" s="31"/>
    </row>
    <row r="34" spans="1:12" ht="13" thickBot="1">
      <c r="A34" s="11"/>
      <c r="B34" s="13"/>
      <c r="C34" s="13"/>
      <c r="D34" s="13"/>
      <c r="E34" s="13"/>
      <c r="F34" s="13"/>
      <c r="G34" s="13"/>
      <c r="H34" s="12"/>
      <c r="I34" s="12"/>
      <c r="J34" s="76"/>
    </row>
    <row r="35" spans="1:12" ht="13.5" thickBot="1">
      <c r="A35" s="594" t="s">
        <v>356</v>
      </c>
      <c r="B35" s="595"/>
      <c r="C35" s="596"/>
      <c r="D35" s="596"/>
      <c r="E35" s="596"/>
      <c r="F35" s="596"/>
      <c r="G35" s="596"/>
      <c r="H35" s="596"/>
      <c r="I35" s="596"/>
      <c r="J35" s="597">
        <f>'Street Light Cust Cost Summary'!B40</f>
        <v>7.6885790392590145</v>
      </c>
    </row>
    <row r="36" spans="1:12">
      <c r="A36" t="s">
        <v>3</v>
      </c>
    </row>
    <row r="44" spans="1:12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6"/>
  <dimension ref="A1:AL65"/>
  <sheetViews>
    <sheetView zoomScale="75" zoomScaleNormal="75" workbookViewId="0">
      <selection activeCell="E5" sqref="E5"/>
    </sheetView>
  </sheetViews>
  <sheetFormatPr defaultRowHeight="12.5"/>
  <cols>
    <col min="1" max="1" width="27" bestFit="1" customWidth="1"/>
    <col min="2" max="2" width="13.26953125" bestFit="1" customWidth="1"/>
    <col min="3" max="3" width="9.26953125" bestFit="1" customWidth="1"/>
    <col min="4" max="5" width="6.54296875" bestFit="1" customWidth="1"/>
    <col min="6" max="6" width="8.1796875" bestFit="1" customWidth="1"/>
    <col min="7" max="7" width="10.453125" bestFit="1" customWidth="1"/>
    <col min="8" max="8" width="10.453125" customWidth="1"/>
    <col min="9" max="9" width="10.26953125" bestFit="1" customWidth="1"/>
    <col min="10" max="10" width="10" bestFit="1" customWidth="1"/>
    <col min="11" max="11" width="12.7265625" bestFit="1" customWidth="1"/>
    <col min="12" max="12" width="13.7265625" bestFit="1" customWidth="1"/>
    <col min="13" max="14" width="11.1796875" customWidth="1"/>
    <col min="15" max="15" width="9.26953125" bestFit="1" customWidth="1"/>
    <col min="16" max="16" width="8.81640625" bestFit="1" customWidth="1"/>
    <col min="17" max="17" width="7" bestFit="1" customWidth="1"/>
    <col min="18" max="18" width="11.54296875" bestFit="1" customWidth="1"/>
    <col min="19" max="19" width="11.7265625" customWidth="1"/>
    <col min="21" max="21" width="15.54296875" bestFit="1" customWidth="1"/>
    <col min="22" max="22" width="11.7265625" customWidth="1"/>
    <col min="25" max="25" width="15.54296875" bestFit="1" customWidth="1"/>
    <col min="26" max="26" width="11.1796875" customWidth="1"/>
    <col min="27" max="27" width="10.54296875" bestFit="1" customWidth="1"/>
    <col min="28" max="28" width="13.1796875" bestFit="1" customWidth="1"/>
    <col min="29" max="29" width="10.54296875" customWidth="1"/>
    <col min="30" max="32" width="12.26953125" customWidth="1"/>
    <col min="33" max="33" width="10.26953125" bestFit="1" customWidth="1"/>
    <col min="34" max="34" width="43.7265625" customWidth="1"/>
    <col min="35" max="37" width="10.26953125" customWidth="1"/>
    <col min="38" max="38" width="13.7265625" bestFit="1" customWidth="1"/>
  </cols>
  <sheetData>
    <row r="1" spans="1:38" ht="18.5" thickBot="1">
      <c r="A1" s="750" t="s">
        <v>410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  <c r="Z1" s="750"/>
      <c r="AA1" s="750"/>
      <c r="AB1" s="750"/>
      <c r="AC1" s="750"/>
      <c r="AD1" s="750"/>
      <c r="AE1" s="750"/>
      <c r="AF1" s="750"/>
      <c r="AG1" s="750"/>
      <c r="AH1" s="750"/>
      <c r="AI1" s="750"/>
      <c r="AJ1" s="750"/>
      <c r="AK1" s="750"/>
      <c r="AL1" s="750"/>
    </row>
    <row r="2" spans="1:38" ht="13.5" thickBot="1">
      <c r="A2" s="169"/>
      <c r="B2" s="761" t="s">
        <v>62</v>
      </c>
      <c r="C2" s="762"/>
      <c r="D2" s="762"/>
      <c r="E2" s="762"/>
      <c r="F2" s="762"/>
      <c r="G2" s="762"/>
      <c r="H2" s="762"/>
      <c r="I2" s="762"/>
      <c r="J2" s="762"/>
      <c r="K2" s="762"/>
      <c r="L2" s="763"/>
      <c r="M2" s="761" t="s">
        <v>363</v>
      </c>
      <c r="N2" s="762"/>
      <c r="O2" s="762"/>
      <c r="P2" s="762"/>
      <c r="Q2" s="762"/>
      <c r="R2" s="763"/>
      <c r="S2" s="761" t="s">
        <v>407</v>
      </c>
      <c r="T2" s="762"/>
      <c r="U2" s="762"/>
      <c r="V2" s="762"/>
      <c r="W2" s="762"/>
      <c r="X2" s="762"/>
      <c r="Y2" s="762"/>
      <c r="Z2" s="762"/>
      <c r="AA2" s="763"/>
      <c r="AB2" s="761" t="s">
        <v>408</v>
      </c>
      <c r="AC2" s="762"/>
      <c r="AD2" s="762"/>
      <c r="AE2" s="762"/>
      <c r="AF2" s="763"/>
      <c r="AG2" s="608" t="s">
        <v>58</v>
      </c>
      <c r="AH2" s="761" t="s">
        <v>409</v>
      </c>
      <c r="AI2" s="762"/>
      <c r="AJ2" s="762"/>
      <c r="AK2" s="762"/>
      <c r="AL2" s="763"/>
    </row>
    <row r="3" spans="1:38" ht="13.5" thickBot="1">
      <c r="A3" s="16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59" t="s">
        <v>316</v>
      </c>
      <c r="N3" s="760"/>
      <c r="O3" s="78"/>
      <c r="P3" s="78"/>
      <c r="Q3" s="78"/>
      <c r="R3" s="78"/>
      <c r="S3" s="91" t="s">
        <v>72</v>
      </c>
      <c r="T3" s="92"/>
      <c r="U3" s="93"/>
      <c r="V3" s="91" t="s">
        <v>90</v>
      </c>
      <c r="W3" s="93"/>
      <c r="X3" s="759" t="s">
        <v>55</v>
      </c>
      <c r="Y3" s="760"/>
      <c r="Z3" s="135"/>
      <c r="AA3" s="78"/>
      <c r="AB3" s="91" t="s">
        <v>73</v>
      </c>
      <c r="AC3" s="93"/>
      <c r="AD3" s="759" t="s">
        <v>298</v>
      </c>
      <c r="AE3" s="760"/>
      <c r="AF3" s="79"/>
      <c r="AG3" s="168"/>
      <c r="AH3" s="761" t="s">
        <v>357</v>
      </c>
      <c r="AI3" s="762"/>
      <c r="AJ3" s="763"/>
      <c r="AK3" s="607" t="s">
        <v>58</v>
      </c>
      <c r="AL3" s="71" t="s">
        <v>358</v>
      </c>
    </row>
    <row r="4" spans="1:38" ht="13.5" thickBot="1">
      <c r="A4" s="2" t="s">
        <v>4</v>
      </c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68</v>
      </c>
      <c r="G4" s="53" t="s">
        <v>66</v>
      </c>
      <c r="H4" s="53" t="s">
        <v>287</v>
      </c>
      <c r="I4" s="53" t="s">
        <v>67</v>
      </c>
      <c r="J4" s="53" t="s">
        <v>89</v>
      </c>
      <c r="K4" s="53" t="s">
        <v>88</v>
      </c>
      <c r="L4" s="53" t="s">
        <v>2</v>
      </c>
      <c r="M4" s="494" t="s">
        <v>0</v>
      </c>
      <c r="N4" s="496" t="s">
        <v>1</v>
      </c>
      <c r="O4" s="53" t="s">
        <v>69</v>
      </c>
      <c r="P4" s="53" t="s">
        <v>428</v>
      </c>
      <c r="Q4" s="53" t="s">
        <v>71</v>
      </c>
      <c r="R4" s="53" t="s">
        <v>2</v>
      </c>
      <c r="S4" s="2" t="s">
        <v>0</v>
      </c>
      <c r="T4" s="3" t="s">
        <v>1</v>
      </c>
      <c r="U4" s="4" t="s">
        <v>84</v>
      </c>
      <c r="V4" s="2" t="s">
        <v>0</v>
      </c>
      <c r="W4" s="4" t="s">
        <v>1</v>
      </c>
      <c r="X4" s="292" t="s">
        <v>1</v>
      </c>
      <c r="Y4" s="293" t="s">
        <v>84</v>
      </c>
      <c r="Z4" s="53" t="s">
        <v>125</v>
      </c>
      <c r="AA4" s="53" t="s">
        <v>2</v>
      </c>
      <c r="AB4" s="598" t="s">
        <v>0</v>
      </c>
      <c r="AC4" s="600" t="s">
        <v>1</v>
      </c>
      <c r="AD4" s="483" t="s">
        <v>0</v>
      </c>
      <c r="AE4" s="484" t="s">
        <v>1</v>
      </c>
      <c r="AF4" s="53" t="s">
        <v>2</v>
      </c>
      <c r="AG4" s="604" t="s">
        <v>2</v>
      </c>
      <c r="AH4" s="601" t="s">
        <v>0</v>
      </c>
      <c r="AI4" s="602" t="s">
        <v>1</v>
      </c>
      <c r="AJ4" s="603" t="s">
        <v>2</v>
      </c>
      <c r="AK4" s="607" t="s">
        <v>2</v>
      </c>
      <c r="AL4" s="53" t="s">
        <v>2</v>
      </c>
    </row>
    <row r="5" spans="1:38" ht="13">
      <c r="A5" s="5"/>
      <c r="B5" s="5"/>
      <c r="C5" s="6"/>
      <c r="D5" s="6"/>
      <c r="E5" s="8"/>
      <c r="F5" s="8"/>
      <c r="G5" s="6"/>
      <c r="H5" s="6"/>
      <c r="I5" s="6"/>
      <c r="J5" s="8"/>
      <c r="K5" s="8"/>
      <c r="L5" s="7"/>
      <c r="M5" s="8"/>
      <c r="N5" s="8"/>
      <c r="O5" s="8"/>
      <c r="P5" s="8"/>
      <c r="Q5" s="8"/>
      <c r="R5" s="7"/>
      <c r="S5" s="8"/>
      <c r="T5" s="8"/>
      <c r="U5" s="8"/>
      <c r="V5" s="6"/>
      <c r="W5" s="6"/>
      <c r="X5" s="6"/>
      <c r="Y5" s="6"/>
      <c r="Z5" s="54"/>
      <c r="AA5" s="7"/>
      <c r="AB5" s="6"/>
      <c r="AC5" s="6"/>
      <c r="AD5" s="6"/>
      <c r="AE5" s="6"/>
      <c r="AF5" s="7"/>
      <c r="AG5" s="5"/>
      <c r="AH5" s="5"/>
      <c r="AI5" s="6"/>
      <c r="AJ5" s="6"/>
      <c r="AK5" s="105"/>
      <c r="AL5" s="105"/>
    </row>
    <row r="6" spans="1:38" ht="13">
      <c r="A6" s="10"/>
      <c r="B6" s="10"/>
      <c r="C6" s="27"/>
      <c r="D6" s="27"/>
      <c r="E6" s="27"/>
      <c r="F6" s="27"/>
      <c r="G6" s="27"/>
      <c r="H6" s="27"/>
      <c r="I6" s="27"/>
      <c r="J6" s="27"/>
      <c r="K6" s="27"/>
      <c r="L6" s="81"/>
      <c r="M6" s="27"/>
      <c r="N6" s="27"/>
      <c r="O6" s="27"/>
      <c r="P6" s="27"/>
      <c r="Q6" s="27"/>
      <c r="R6" s="81"/>
      <c r="S6" s="27"/>
      <c r="T6" s="8"/>
      <c r="U6" s="8"/>
      <c r="V6" s="27"/>
      <c r="W6" s="8"/>
      <c r="X6" s="8"/>
      <c r="Y6" s="8"/>
      <c r="Z6" s="8"/>
      <c r="AA6" s="9"/>
      <c r="AB6" s="8"/>
      <c r="AC6" s="8"/>
      <c r="AD6" s="8"/>
      <c r="AE6" s="8"/>
      <c r="AF6" s="9"/>
      <c r="AG6" s="104"/>
      <c r="AH6" s="104"/>
      <c r="AI6" s="8"/>
      <c r="AJ6" s="8"/>
      <c r="AK6" s="106"/>
      <c r="AL6" s="106"/>
    </row>
    <row r="7" spans="1:38" ht="13">
      <c r="A7" s="21" t="s">
        <v>5</v>
      </c>
      <c r="B7" s="109">
        <f>'Resid Cust Fcst '!H8</f>
        <v>0</v>
      </c>
      <c r="C7" s="23">
        <f>'Resid Cust Fcst '!O8</f>
        <v>0</v>
      </c>
      <c r="D7" s="23">
        <f>'Resid Cust Fcst '!V8</f>
        <v>0</v>
      </c>
      <c r="E7" s="23">
        <f>'Resid Cust Fcst '!AC8</f>
        <v>0</v>
      </c>
      <c r="F7" s="23">
        <f>'Resid Cust Fcst '!AJ8</f>
        <v>0</v>
      </c>
      <c r="G7" s="23">
        <f>'Resid Cust Fcst '!AQ8</f>
        <v>0</v>
      </c>
      <c r="H7" s="23">
        <f>'Resid Cust Fcst '!AX8</f>
        <v>0</v>
      </c>
      <c r="I7" s="23">
        <f>'Resid Cust Fcst '!BE8</f>
        <v>0</v>
      </c>
      <c r="J7" s="23">
        <f>'Resid Cust Fcst '!BL8</f>
        <v>0</v>
      </c>
      <c r="K7" s="23">
        <f>'Resid Cust Fcst '!BS8</f>
        <v>0</v>
      </c>
      <c r="L7" s="41">
        <f t="shared" ref="L7:L37" si="0">SUM(B7:K7)</f>
        <v>0</v>
      </c>
      <c r="M7" s="23">
        <f>'Sm Comm Cust Fcst'!F8</f>
        <v>92</v>
      </c>
      <c r="N7" s="23">
        <f>'Sm Comm Cust Fcst'!G8</f>
        <v>0</v>
      </c>
      <c r="O7" s="23">
        <f>'Sm Comm Cust Fcst'!M8</f>
        <v>0</v>
      </c>
      <c r="P7" s="23">
        <f>'Sm Comm Cust Fcst'!T8</f>
        <v>0</v>
      </c>
      <c r="Q7" s="23">
        <f>'Sm Comm Cust Fcst'!AA8</f>
        <v>0</v>
      </c>
      <c r="R7" s="41">
        <f t="shared" ref="R7:R37" si="1">SUM(M7:Q7)</f>
        <v>92</v>
      </c>
      <c r="S7" s="23">
        <f>'Sch AL-TOU Cust Fcst'!F6</f>
        <v>6</v>
      </c>
      <c r="T7" s="23">
        <f>'Sch AL-TOU Cust Fcst'!G6</f>
        <v>0</v>
      </c>
      <c r="U7" s="23">
        <f>'Sch AL-TOU Cust Fcst'!H6</f>
        <v>0</v>
      </c>
      <c r="V7" s="23">
        <f>'Sch DG-R Cust Fcst'!F6</f>
        <v>0</v>
      </c>
      <c r="W7" s="23">
        <f>'Sch DG-R Cust Fcst'!G6</f>
        <v>0</v>
      </c>
      <c r="X7" s="23">
        <f>'Sch A6-TOU Cust Fcst '!B6</f>
        <v>0</v>
      </c>
      <c r="Y7" s="23">
        <f>'Sch A6-TOU Cust Fcst '!C6</f>
        <v>0</v>
      </c>
      <c r="Z7" s="23">
        <f>'Sch OL-TOU Cust Fcst'!F6</f>
        <v>0</v>
      </c>
      <c r="AA7" s="41">
        <f t="shared" ref="AA7:AA37" si="2">SUM(S7:Z7)</f>
        <v>6</v>
      </c>
      <c r="AB7" s="23"/>
      <c r="AC7" s="23"/>
      <c r="AD7" s="23">
        <f>'Sch TOU-PA Cust Fcst'!F6</f>
        <v>0</v>
      </c>
      <c r="AE7" s="23">
        <f>'Sch TOU-PA Cust Fcst'!G6</f>
        <v>0</v>
      </c>
      <c r="AF7" s="41">
        <f>SUM(AD7:AE7)</f>
        <v>0</v>
      </c>
      <c r="AG7" s="109">
        <f>'Street Light Cust Cost Summary'!B30</f>
        <v>103</v>
      </c>
      <c r="AH7" s="109">
        <f>L7+R7+S7+V7+Z7+AF7</f>
        <v>98</v>
      </c>
      <c r="AI7" s="23">
        <f>T7+W7+X7</f>
        <v>0</v>
      </c>
      <c r="AJ7" s="23">
        <f>SUM(AH7:AI7)</f>
        <v>98</v>
      </c>
      <c r="AK7" s="136">
        <f>AG7</f>
        <v>103</v>
      </c>
      <c r="AL7" s="136">
        <f>AJ7+AK7</f>
        <v>201</v>
      </c>
    </row>
    <row r="8" spans="1:38" ht="13">
      <c r="A8" s="20" t="s">
        <v>6</v>
      </c>
      <c r="B8" s="109">
        <f>'Resid Cust Fcst '!H9</f>
        <v>0</v>
      </c>
      <c r="C8" s="23">
        <f>'Resid Cust Fcst '!O9</f>
        <v>0</v>
      </c>
      <c r="D8" s="23">
        <f>'Resid Cust Fcst '!V9</f>
        <v>0</v>
      </c>
      <c r="E8" s="23">
        <f>'Resid Cust Fcst '!AC9</f>
        <v>0</v>
      </c>
      <c r="F8" s="23">
        <f>'Resid Cust Fcst '!AJ9</f>
        <v>0</v>
      </c>
      <c r="G8" s="23">
        <f>'Resid Cust Fcst '!AQ9</f>
        <v>0</v>
      </c>
      <c r="H8" s="23">
        <f>'Resid Cust Fcst '!AX9</f>
        <v>0</v>
      </c>
      <c r="I8" s="23">
        <f>'Resid Cust Fcst '!BE9</f>
        <v>0</v>
      </c>
      <c r="J8" s="23">
        <f>'Resid Cust Fcst '!BL9</f>
        <v>0</v>
      </c>
      <c r="K8" s="23">
        <f>'Resid Cust Fcst '!BS9</f>
        <v>0</v>
      </c>
      <c r="L8" s="41">
        <f t="shared" si="0"/>
        <v>0</v>
      </c>
      <c r="M8" s="23">
        <f>'Sm Comm Cust Fcst'!F9</f>
        <v>62</v>
      </c>
      <c r="N8" s="23">
        <f>'Sm Comm Cust Fcst'!G9</f>
        <v>0</v>
      </c>
      <c r="O8" s="23">
        <f>'Sm Comm Cust Fcst'!M9</f>
        <v>0</v>
      </c>
      <c r="P8" s="23">
        <f>'Sm Comm Cust Fcst'!T9</f>
        <v>0</v>
      </c>
      <c r="Q8" s="23">
        <f>'Sm Comm Cust Fcst'!AA9</f>
        <v>0</v>
      </c>
      <c r="R8" s="41">
        <f t="shared" si="1"/>
        <v>62</v>
      </c>
      <c r="S8" s="23">
        <f>'Sch AL-TOU Cust Fcst'!F7</f>
        <v>6</v>
      </c>
      <c r="T8" s="23">
        <f>'Sch AL-TOU Cust Fcst'!G7</f>
        <v>1</v>
      </c>
      <c r="U8" s="23">
        <f>'Sch AL-TOU Cust Fcst'!H7</f>
        <v>0</v>
      </c>
      <c r="V8" s="23">
        <f>'Sch DG-R Cust Fcst'!F7</f>
        <v>0</v>
      </c>
      <c r="W8" s="23">
        <f>'Sch DG-R Cust Fcst'!G7</f>
        <v>0</v>
      </c>
      <c r="X8" s="23">
        <f>'Sch A6-TOU Cust Fcst '!B7</f>
        <v>0</v>
      </c>
      <c r="Y8" s="23">
        <f>'Sch A6-TOU Cust Fcst '!C7</f>
        <v>0</v>
      </c>
      <c r="Z8" s="23">
        <f>'Sch OL-TOU Cust Fcst'!F7</f>
        <v>0</v>
      </c>
      <c r="AA8" s="41">
        <f t="shared" si="2"/>
        <v>7</v>
      </c>
      <c r="AB8" s="23"/>
      <c r="AC8" s="23"/>
      <c r="AD8" s="23">
        <f>'Sch TOU-PA Cust Fcst'!F7</f>
        <v>1</v>
      </c>
      <c r="AE8" s="23">
        <f>'Sch TOU-PA Cust Fcst'!G7</f>
        <v>0</v>
      </c>
      <c r="AF8" s="41">
        <f t="shared" ref="AF8:AF39" si="3">SUM(AD8:AE8)</f>
        <v>1</v>
      </c>
      <c r="AG8" s="109"/>
      <c r="AH8" s="109">
        <f t="shared" ref="AH8:AH37" si="4">L8+R8+S8+V8+Z8+AF8</f>
        <v>69</v>
      </c>
      <c r="AI8" s="23">
        <f t="shared" ref="AI8:AI37" si="5">T8+W8+X8</f>
        <v>1</v>
      </c>
      <c r="AJ8" s="23">
        <f t="shared" ref="AJ8:AJ37" si="6">SUM(AH8:AI8)</f>
        <v>70</v>
      </c>
      <c r="AK8" s="136"/>
      <c r="AL8" s="136">
        <f t="shared" ref="AL8:AL37" si="7">AJ8+AK8</f>
        <v>70</v>
      </c>
    </row>
    <row r="9" spans="1:38" ht="13">
      <c r="A9" s="22" t="s">
        <v>7</v>
      </c>
      <c r="B9" s="109">
        <f>'Resid Cust Fcst '!H10</f>
        <v>0</v>
      </c>
      <c r="C9" s="23">
        <f>'Resid Cust Fcst '!O10</f>
        <v>0</v>
      </c>
      <c r="D9" s="23">
        <f>'Resid Cust Fcst '!V10</f>
        <v>0</v>
      </c>
      <c r="E9" s="23">
        <f>'Resid Cust Fcst '!AC10</f>
        <v>0</v>
      </c>
      <c r="F9" s="23">
        <f>'Resid Cust Fcst '!AJ10</f>
        <v>0</v>
      </c>
      <c r="G9" s="23">
        <f>'Resid Cust Fcst '!AQ10</f>
        <v>0</v>
      </c>
      <c r="H9" s="23">
        <f>'Resid Cust Fcst '!AX10</f>
        <v>0</v>
      </c>
      <c r="I9" s="23">
        <f>'Resid Cust Fcst '!BE10</f>
        <v>0</v>
      </c>
      <c r="J9" s="23">
        <f>'Resid Cust Fcst '!BL10</f>
        <v>0</v>
      </c>
      <c r="K9" s="23">
        <f>'Resid Cust Fcst '!BS10</f>
        <v>0</v>
      </c>
      <c r="L9" s="41">
        <f t="shared" si="0"/>
        <v>0</v>
      </c>
      <c r="M9" s="23">
        <f>'Sm Comm Cust Fcst'!F10</f>
        <v>96</v>
      </c>
      <c r="N9" s="23">
        <f>'Sm Comm Cust Fcst'!G10</f>
        <v>0</v>
      </c>
      <c r="O9" s="23">
        <f>'Sm Comm Cust Fcst'!M10</f>
        <v>0</v>
      </c>
      <c r="P9" s="23">
        <f>'Sm Comm Cust Fcst'!T10</f>
        <v>0</v>
      </c>
      <c r="Q9" s="23">
        <f>'Sm Comm Cust Fcst'!AA10</f>
        <v>0</v>
      </c>
      <c r="R9" s="41">
        <f t="shared" si="1"/>
        <v>96</v>
      </c>
      <c r="S9" s="23">
        <f>'Sch AL-TOU Cust Fcst'!F8</f>
        <v>7</v>
      </c>
      <c r="T9" s="23">
        <f>'Sch AL-TOU Cust Fcst'!G8</f>
        <v>0</v>
      </c>
      <c r="U9" s="23">
        <f>'Sch AL-TOU Cust Fcst'!H8</f>
        <v>0</v>
      </c>
      <c r="V9" s="23">
        <f>'Sch DG-R Cust Fcst'!F8</f>
        <v>0</v>
      </c>
      <c r="W9" s="23">
        <f>'Sch DG-R Cust Fcst'!G8</f>
        <v>0</v>
      </c>
      <c r="X9" s="23">
        <f>'Sch A6-TOU Cust Fcst '!B8</f>
        <v>0</v>
      </c>
      <c r="Y9" s="23">
        <f>'Sch A6-TOU Cust Fcst '!C8</f>
        <v>0</v>
      </c>
      <c r="Z9" s="23">
        <f>'Sch OL-TOU Cust Fcst'!F8</f>
        <v>0</v>
      </c>
      <c r="AA9" s="41">
        <f t="shared" si="2"/>
        <v>7</v>
      </c>
      <c r="AB9" s="23"/>
      <c r="AC9" s="23"/>
      <c r="AD9" s="23">
        <f>'Sch TOU-PA Cust Fcst'!F8</f>
        <v>1</v>
      </c>
      <c r="AE9" s="23">
        <f>'Sch TOU-PA Cust Fcst'!G8</f>
        <v>0</v>
      </c>
      <c r="AF9" s="41">
        <f t="shared" si="3"/>
        <v>1</v>
      </c>
      <c r="AG9" s="109"/>
      <c r="AH9" s="109">
        <f t="shared" si="4"/>
        <v>104</v>
      </c>
      <c r="AI9" s="23">
        <f t="shared" si="5"/>
        <v>0</v>
      </c>
      <c r="AJ9" s="23">
        <f t="shared" si="6"/>
        <v>104</v>
      </c>
      <c r="AK9" s="136"/>
      <c r="AL9" s="136">
        <f t="shared" si="7"/>
        <v>104</v>
      </c>
    </row>
    <row r="10" spans="1:38" ht="13">
      <c r="A10" s="22" t="s">
        <v>105</v>
      </c>
      <c r="B10" s="109">
        <f>'Resid Cust Fcst '!H11</f>
        <v>1</v>
      </c>
      <c r="C10" s="23">
        <f>'Resid Cust Fcst '!O11</f>
        <v>0</v>
      </c>
      <c r="D10" s="23">
        <f>'Resid Cust Fcst '!V11</f>
        <v>0</v>
      </c>
      <c r="E10" s="23">
        <f>'Resid Cust Fcst '!AC11</f>
        <v>0</v>
      </c>
      <c r="F10" s="23">
        <f>'Resid Cust Fcst '!AJ11</f>
        <v>0</v>
      </c>
      <c r="G10" s="23">
        <f>'Resid Cust Fcst '!AQ11</f>
        <v>0</v>
      </c>
      <c r="H10" s="23">
        <f>'Resid Cust Fcst '!AX11</f>
        <v>0</v>
      </c>
      <c r="I10" s="23">
        <f>'Resid Cust Fcst '!BE11</f>
        <v>0</v>
      </c>
      <c r="J10" s="23">
        <f>'Resid Cust Fcst '!BL11</f>
        <v>0</v>
      </c>
      <c r="K10" s="23">
        <f>'Resid Cust Fcst '!BS11</f>
        <v>0</v>
      </c>
      <c r="L10" s="41">
        <f t="shared" si="0"/>
        <v>1</v>
      </c>
      <c r="M10" s="23">
        <f>'Sm Comm Cust Fcst'!F11</f>
        <v>156</v>
      </c>
      <c r="N10" s="23">
        <f>'Sm Comm Cust Fcst'!G11</f>
        <v>0</v>
      </c>
      <c r="O10" s="23">
        <f>'Sm Comm Cust Fcst'!M11</f>
        <v>0</v>
      </c>
      <c r="P10" s="23">
        <f>'Sm Comm Cust Fcst'!T11</f>
        <v>0</v>
      </c>
      <c r="Q10" s="23">
        <f>'Sm Comm Cust Fcst'!AA11</f>
        <v>0</v>
      </c>
      <c r="R10" s="41">
        <f t="shared" si="1"/>
        <v>156</v>
      </c>
      <c r="S10" s="23">
        <f>'Sch AL-TOU Cust Fcst'!F9</f>
        <v>7</v>
      </c>
      <c r="T10" s="23">
        <f>'Sch AL-TOU Cust Fcst'!G9</f>
        <v>0</v>
      </c>
      <c r="U10" s="23">
        <f>'Sch AL-TOU Cust Fcst'!H9</f>
        <v>0</v>
      </c>
      <c r="V10" s="23">
        <f>'Sch DG-R Cust Fcst'!F9</f>
        <v>1</v>
      </c>
      <c r="W10" s="23">
        <f>'Sch DG-R Cust Fcst'!G9</f>
        <v>0</v>
      </c>
      <c r="X10" s="23">
        <f>'Sch A6-TOU Cust Fcst '!B9</f>
        <v>0</v>
      </c>
      <c r="Y10" s="23">
        <f>'Sch A6-TOU Cust Fcst '!C9</f>
        <v>0</v>
      </c>
      <c r="Z10" s="23">
        <f>'Sch OL-TOU Cust Fcst'!F9</f>
        <v>0</v>
      </c>
      <c r="AA10" s="41">
        <f t="shared" si="2"/>
        <v>8</v>
      </c>
      <c r="AB10" s="23"/>
      <c r="AC10" s="23"/>
      <c r="AD10" s="23">
        <f>'Sch TOU-PA Cust Fcst'!F9</f>
        <v>0</v>
      </c>
      <c r="AE10" s="23">
        <f>'Sch TOU-PA Cust Fcst'!G9</f>
        <v>0</v>
      </c>
      <c r="AF10" s="41">
        <f t="shared" si="3"/>
        <v>0</v>
      </c>
      <c r="AG10" s="109"/>
      <c r="AH10" s="109">
        <f t="shared" si="4"/>
        <v>165</v>
      </c>
      <c r="AI10" s="23">
        <f t="shared" si="5"/>
        <v>0</v>
      </c>
      <c r="AJ10" s="23">
        <f t="shared" si="6"/>
        <v>165</v>
      </c>
      <c r="AK10" s="136"/>
      <c r="AL10" s="136">
        <f t="shared" si="7"/>
        <v>165</v>
      </c>
    </row>
    <row r="11" spans="1:38" ht="13">
      <c r="A11" s="22" t="s">
        <v>97</v>
      </c>
      <c r="B11" s="109">
        <f>'Resid Cust Fcst '!H12</f>
        <v>0</v>
      </c>
      <c r="C11" s="23">
        <f>'Resid Cust Fcst '!O12</f>
        <v>0</v>
      </c>
      <c r="D11" s="23">
        <f>'Resid Cust Fcst '!V12</f>
        <v>0</v>
      </c>
      <c r="E11" s="23">
        <f>'Resid Cust Fcst '!AC12</f>
        <v>0</v>
      </c>
      <c r="F11" s="23">
        <f>'Resid Cust Fcst '!AJ12</f>
        <v>0</v>
      </c>
      <c r="G11" s="23">
        <f>'Resid Cust Fcst '!AQ12</f>
        <v>0</v>
      </c>
      <c r="H11" s="23">
        <f>'Resid Cust Fcst '!AX12</f>
        <v>0</v>
      </c>
      <c r="I11" s="23">
        <f>'Resid Cust Fcst '!BE12</f>
        <v>0</v>
      </c>
      <c r="J11" s="23">
        <f>'Resid Cust Fcst '!BL12</f>
        <v>0</v>
      </c>
      <c r="K11" s="23">
        <f>'Resid Cust Fcst '!BS12</f>
        <v>0</v>
      </c>
      <c r="L11" s="41">
        <f t="shared" si="0"/>
        <v>0</v>
      </c>
      <c r="M11" s="23">
        <f>'Sm Comm Cust Fcst'!F12</f>
        <v>100</v>
      </c>
      <c r="N11" s="23">
        <f>'Sm Comm Cust Fcst'!G12</f>
        <v>0</v>
      </c>
      <c r="O11" s="23">
        <f>'Sm Comm Cust Fcst'!M12</f>
        <v>0</v>
      </c>
      <c r="P11" s="23">
        <f>'Sm Comm Cust Fcst'!T12</f>
        <v>0</v>
      </c>
      <c r="Q11" s="23">
        <f>'Sm Comm Cust Fcst'!AA12</f>
        <v>0</v>
      </c>
      <c r="R11" s="41">
        <f t="shared" si="1"/>
        <v>100</v>
      </c>
      <c r="S11" s="23">
        <f>'Sch AL-TOU Cust Fcst'!F10</f>
        <v>12</v>
      </c>
      <c r="T11" s="23">
        <f>'Sch AL-TOU Cust Fcst'!G10</f>
        <v>0</v>
      </c>
      <c r="U11" s="23">
        <f>'Sch AL-TOU Cust Fcst'!H10</f>
        <v>0</v>
      </c>
      <c r="V11" s="23">
        <f>'Sch DG-R Cust Fcst'!F10</f>
        <v>0</v>
      </c>
      <c r="W11" s="23">
        <f>'Sch DG-R Cust Fcst'!G10</f>
        <v>0</v>
      </c>
      <c r="X11" s="23">
        <f>'Sch A6-TOU Cust Fcst '!B10</f>
        <v>0</v>
      </c>
      <c r="Y11" s="23">
        <f>'Sch A6-TOU Cust Fcst '!C10</f>
        <v>0</v>
      </c>
      <c r="Z11" s="23">
        <f>'Sch OL-TOU Cust Fcst'!F10</f>
        <v>0</v>
      </c>
      <c r="AA11" s="41">
        <f t="shared" si="2"/>
        <v>12</v>
      </c>
      <c r="AB11" s="23"/>
      <c r="AC11" s="23"/>
      <c r="AD11" s="23">
        <f>'Sch TOU-PA Cust Fcst'!F10</f>
        <v>0</v>
      </c>
      <c r="AE11" s="23">
        <f>'Sch TOU-PA Cust Fcst'!G10</f>
        <v>0</v>
      </c>
      <c r="AF11" s="41">
        <f t="shared" si="3"/>
        <v>0</v>
      </c>
      <c r="AG11" s="109"/>
      <c r="AH11" s="109">
        <f t="shared" si="4"/>
        <v>112</v>
      </c>
      <c r="AI11" s="23">
        <f t="shared" si="5"/>
        <v>0</v>
      </c>
      <c r="AJ11" s="23">
        <f t="shared" si="6"/>
        <v>112</v>
      </c>
      <c r="AK11" s="136"/>
      <c r="AL11" s="136">
        <f t="shared" si="7"/>
        <v>112</v>
      </c>
    </row>
    <row r="12" spans="1:38" ht="13">
      <c r="A12" s="22" t="s">
        <v>8</v>
      </c>
      <c r="B12" s="109">
        <f>'Resid Cust Fcst '!H13</f>
        <v>0</v>
      </c>
      <c r="C12" s="23">
        <f>'Resid Cust Fcst '!O13</f>
        <v>0</v>
      </c>
      <c r="D12" s="23">
        <f>'Resid Cust Fcst '!V13</f>
        <v>0</v>
      </c>
      <c r="E12" s="23">
        <f>'Resid Cust Fcst '!AC13</f>
        <v>0</v>
      </c>
      <c r="F12" s="23">
        <f>'Resid Cust Fcst '!AJ13</f>
        <v>0</v>
      </c>
      <c r="G12" s="23">
        <f>'Resid Cust Fcst '!AQ13</f>
        <v>0</v>
      </c>
      <c r="H12" s="23">
        <f>'Resid Cust Fcst '!AX13</f>
        <v>0</v>
      </c>
      <c r="I12" s="23">
        <f>'Resid Cust Fcst '!BE13</f>
        <v>0</v>
      </c>
      <c r="J12" s="23">
        <f>'Resid Cust Fcst '!BL13</f>
        <v>0</v>
      </c>
      <c r="K12" s="23">
        <f>'Resid Cust Fcst '!BS13</f>
        <v>0</v>
      </c>
      <c r="L12" s="41">
        <f t="shared" si="0"/>
        <v>0</v>
      </c>
      <c r="M12" s="23">
        <f>'Sm Comm Cust Fcst'!F13</f>
        <v>47</v>
      </c>
      <c r="N12" s="23">
        <f>'Sm Comm Cust Fcst'!G13</f>
        <v>0</v>
      </c>
      <c r="O12" s="23">
        <f>'Sm Comm Cust Fcst'!M13</f>
        <v>0</v>
      </c>
      <c r="P12" s="23">
        <f>'Sm Comm Cust Fcst'!T13</f>
        <v>1</v>
      </c>
      <c r="Q12" s="23">
        <f>'Sm Comm Cust Fcst'!AA13</f>
        <v>0</v>
      </c>
      <c r="R12" s="41">
        <f t="shared" si="1"/>
        <v>48</v>
      </c>
      <c r="S12" s="23">
        <f>'Sch AL-TOU Cust Fcst'!F11</f>
        <v>100</v>
      </c>
      <c r="T12" s="23">
        <f>'Sch AL-TOU Cust Fcst'!G11</f>
        <v>2</v>
      </c>
      <c r="U12" s="23">
        <f>'Sch AL-TOU Cust Fcst'!H11</f>
        <v>0</v>
      </c>
      <c r="V12" s="23">
        <f>'Sch DG-R Cust Fcst'!F11</f>
        <v>4</v>
      </c>
      <c r="W12" s="23">
        <f>'Sch DG-R Cust Fcst'!G11</f>
        <v>0</v>
      </c>
      <c r="X12" s="23">
        <f>'Sch A6-TOU Cust Fcst '!B11</f>
        <v>0</v>
      </c>
      <c r="Y12" s="23">
        <f>'Sch A6-TOU Cust Fcst '!C11</f>
        <v>0</v>
      </c>
      <c r="Z12" s="23">
        <f>'Sch OL-TOU Cust Fcst'!F11</f>
        <v>0</v>
      </c>
      <c r="AA12" s="41">
        <f t="shared" si="2"/>
        <v>106</v>
      </c>
      <c r="AB12" s="23"/>
      <c r="AC12" s="23"/>
      <c r="AD12" s="23">
        <f>'Sch TOU-PA Cust Fcst'!F11</f>
        <v>0</v>
      </c>
      <c r="AE12" s="23">
        <f>'Sch TOU-PA Cust Fcst'!G11</f>
        <v>0</v>
      </c>
      <c r="AF12" s="41">
        <f t="shared" si="3"/>
        <v>0</v>
      </c>
      <c r="AG12" s="109"/>
      <c r="AH12" s="109">
        <f t="shared" si="4"/>
        <v>152</v>
      </c>
      <c r="AI12" s="23">
        <f t="shared" si="5"/>
        <v>2</v>
      </c>
      <c r="AJ12" s="23">
        <f t="shared" si="6"/>
        <v>154</v>
      </c>
      <c r="AK12" s="136"/>
      <c r="AL12" s="136">
        <f t="shared" si="7"/>
        <v>154</v>
      </c>
    </row>
    <row r="13" spans="1:38" ht="13">
      <c r="A13" s="22" t="s">
        <v>9</v>
      </c>
      <c r="B13" s="109">
        <f>'Resid Cust Fcst '!H14</f>
        <v>0</v>
      </c>
      <c r="C13" s="23">
        <f>'Resid Cust Fcst '!O14</f>
        <v>0</v>
      </c>
      <c r="D13" s="23">
        <f>'Resid Cust Fcst '!V14</f>
        <v>0</v>
      </c>
      <c r="E13" s="23">
        <f>'Resid Cust Fcst '!AC14</f>
        <v>0</v>
      </c>
      <c r="F13" s="23">
        <f>'Resid Cust Fcst '!AJ14</f>
        <v>0</v>
      </c>
      <c r="G13" s="23">
        <f>'Resid Cust Fcst '!AQ14</f>
        <v>0</v>
      </c>
      <c r="H13" s="23">
        <f>'Resid Cust Fcst '!AX14</f>
        <v>0</v>
      </c>
      <c r="I13" s="23">
        <f>'Resid Cust Fcst '!BE14</f>
        <v>0</v>
      </c>
      <c r="J13" s="23">
        <f>'Resid Cust Fcst '!BL14</f>
        <v>0</v>
      </c>
      <c r="K13" s="23">
        <f>'Resid Cust Fcst '!BS14</f>
        <v>0</v>
      </c>
      <c r="L13" s="41">
        <f t="shared" si="0"/>
        <v>0</v>
      </c>
      <c r="M13" s="23">
        <f>'Sm Comm Cust Fcst'!F14</f>
        <v>70</v>
      </c>
      <c r="N13" s="23">
        <f>'Sm Comm Cust Fcst'!G14</f>
        <v>0</v>
      </c>
      <c r="O13" s="23">
        <f>'Sm Comm Cust Fcst'!M14</f>
        <v>0</v>
      </c>
      <c r="P13" s="23">
        <f>'Sm Comm Cust Fcst'!T14</f>
        <v>1</v>
      </c>
      <c r="Q13" s="23">
        <f>'Sm Comm Cust Fcst'!AA14</f>
        <v>0</v>
      </c>
      <c r="R13" s="41">
        <f t="shared" si="1"/>
        <v>71</v>
      </c>
      <c r="S13" s="23">
        <f>'Sch AL-TOU Cust Fcst'!F12</f>
        <v>96</v>
      </c>
      <c r="T13" s="23">
        <f>'Sch AL-TOU Cust Fcst'!G12</f>
        <v>0</v>
      </c>
      <c r="U13" s="23">
        <f>'Sch AL-TOU Cust Fcst'!H12</f>
        <v>0</v>
      </c>
      <c r="V13" s="23">
        <f>'Sch DG-R Cust Fcst'!F12</f>
        <v>5</v>
      </c>
      <c r="W13" s="23">
        <f>'Sch DG-R Cust Fcst'!G12</f>
        <v>0</v>
      </c>
      <c r="X13" s="23">
        <f>'Sch A6-TOU Cust Fcst '!B12</f>
        <v>0</v>
      </c>
      <c r="Y13" s="23">
        <f>'Sch A6-TOU Cust Fcst '!C12</f>
        <v>0</v>
      </c>
      <c r="Z13" s="23">
        <f>'Sch OL-TOU Cust Fcst'!F12</f>
        <v>0</v>
      </c>
      <c r="AA13" s="41">
        <f t="shared" si="2"/>
        <v>101</v>
      </c>
      <c r="AB13" s="23"/>
      <c r="AC13" s="23"/>
      <c r="AD13" s="23">
        <f>'Sch TOU-PA Cust Fcst'!F12</f>
        <v>0</v>
      </c>
      <c r="AE13" s="23">
        <f>'Sch TOU-PA Cust Fcst'!G12</f>
        <v>0</v>
      </c>
      <c r="AF13" s="41">
        <f t="shared" si="3"/>
        <v>0</v>
      </c>
      <c r="AG13" s="109"/>
      <c r="AH13" s="109">
        <f t="shared" si="4"/>
        <v>172</v>
      </c>
      <c r="AI13" s="23">
        <f t="shared" si="5"/>
        <v>0</v>
      </c>
      <c r="AJ13" s="23">
        <f t="shared" si="6"/>
        <v>172</v>
      </c>
      <c r="AK13" s="136"/>
      <c r="AL13" s="136">
        <f t="shared" si="7"/>
        <v>172</v>
      </c>
    </row>
    <row r="14" spans="1:38" ht="13">
      <c r="A14" s="22" t="s">
        <v>10</v>
      </c>
      <c r="B14" s="109">
        <f>'Resid Cust Fcst '!H15</f>
        <v>0</v>
      </c>
      <c r="C14" s="23">
        <f>'Resid Cust Fcst '!O15</f>
        <v>0</v>
      </c>
      <c r="D14" s="23">
        <f>'Resid Cust Fcst '!V15</f>
        <v>0</v>
      </c>
      <c r="E14" s="23">
        <f>'Resid Cust Fcst '!AC15</f>
        <v>0</v>
      </c>
      <c r="F14" s="23">
        <f>'Resid Cust Fcst '!AJ15</f>
        <v>0</v>
      </c>
      <c r="G14" s="23">
        <f>'Resid Cust Fcst '!AQ15</f>
        <v>0</v>
      </c>
      <c r="H14" s="23">
        <f>'Resid Cust Fcst '!AX15</f>
        <v>0</v>
      </c>
      <c r="I14" s="23">
        <f>'Resid Cust Fcst '!BE15</f>
        <v>0</v>
      </c>
      <c r="J14" s="23">
        <f>'Resid Cust Fcst '!BL15</f>
        <v>0</v>
      </c>
      <c r="K14" s="23">
        <f>'Resid Cust Fcst '!BS15</f>
        <v>0</v>
      </c>
      <c r="L14" s="41">
        <f t="shared" si="0"/>
        <v>0</v>
      </c>
      <c r="M14" s="23">
        <f>'Sm Comm Cust Fcst'!F15</f>
        <v>13</v>
      </c>
      <c r="N14" s="23">
        <f>'Sm Comm Cust Fcst'!G15</f>
        <v>0</v>
      </c>
      <c r="O14" s="23">
        <f>'Sm Comm Cust Fcst'!M15</f>
        <v>0</v>
      </c>
      <c r="P14" s="23">
        <f>'Sm Comm Cust Fcst'!T15</f>
        <v>0</v>
      </c>
      <c r="Q14" s="23">
        <f>'Sm Comm Cust Fcst'!AA15</f>
        <v>0</v>
      </c>
      <c r="R14" s="41">
        <f t="shared" si="1"/>
        <v>13</v>
      </c>
      <c r="S14" s="23">
        <f>'Sch AL-TOU Cust Fcst'!F13</f>
        <v>56</v>
      </c>
      <c r="T14" s="23">
        <f>'Sch AL-TOU Cust Fcst'!G13</f>
        <v>0</v>
      </c>
      <c r="U14" s="23">
        <f>'Sch AL-TOU Cust Fcst'!H13</f>
        <v>0</v>
      </c>
      <c r="V14" s="23">
        <f>'Sch DG-R Cust Fcst'!F13</f>
        <v>10</v>
      </c>
      <c r="W14" s="23">
        <f>'Sch DG-R Cust Fcst'!G13</f>
        <v>0</v>
      </c>
      <c r="X14" s="23">
        <f>'Sch A6-TOU Cust Fcst '!B13</f>
        <v>0</v>
      </c>
      <c r="Y14" s="23">
        <f>'Sch A6-TOU Cust Fcst '!C13</f>
        <v>0</v>
      </c>
      <c r="Z14" s="23">
        <f>'Sch OL-TOU Cust Fcst'!F13</f>
        <v>0</v>
      </c>
      <c r="AA14" s="41">
        <f t="shared" si="2"/>
        <v>66</v>
      </c>
      <c r="AB14" s="23"/>
      <c r="AC14" s="23"/>
      <c r="AD14" s="23">
        <f>'Sch TOU-PA Cust Fcst'!F13</f>
        <v>0</v>
      </c>
      <c r="AE14" s="23">
        <f>'Sch TOU-PA Cust Fcst'!G13</f>
        <v>0</v>
      </c>
      <c r="AF14" s="41">
        <f t="shared" si="3"/>
        <v>0</v>
      </c>
      <c r="AG14" s="109"/>
      <c r="AH14" s="109">
        <f t="shared" si="4"/>
        <v>79</v>
      </c>
      <c r="AI14" s="23">
        <f t="shared" si="5"/>
        <v>0</v>
      </c>
      <c r="AJ14" s="23">
        <f t="shared" si="6"/>
        <v>79</v>
      </c>
      <c r="AK14" s="136"/>
      <c r="AL14" s="136">
        <f t="shared" si="7"/>
        <v>79</v>
      </c>
    </row>
    <row r="15" spans="1:38" ht="13">
      <c r="A15" s="22" t="s">
        <v>11</v>
      </c>
      <c r="B15" s="109">
        <f>'Resid Cust Fcst '!H16</f>
        <v>0</v>
      </c>
      <c r="C15" s="23">
        <f>'Resid Cust Fcst '!O16</f>
        <v>0</v>
      </c>
      <c r="D15" s="23">
        <f>'Resid Cust Fcst '!V16</f>
        <v>0</v>
      </c>
      <c r="E15" s="23">
        <f>'Resid Cust Fcst '!AC16</f>
        <v>0</v>
      </c>
      <c r="F15" s="23">
        <f>'Resid Cust Fcst '!AJ16</f>
        <v>0</v>
      </c>
      <c r="G15" s="23">
        <f>'Resid Cust Fcst '!AQ16</f>
        <v>0</v>
      </c>
      <c r="H15" s="23">
        <f>'Resid Cust Fcst '!AX16</f>
        <v>0</v>
      </c>
      <c r="I15" s="23">
        <f>'Resid Cust Fcst '!BE16</f>
        <v>0</v>
      </c>
      <c r="J15" s="23">
        <f>'Resid Cust Fcst '!BL16</f>
        <v>0</v>
      </c>
      <c r="K15" s="23">
        <f>'Resid Cust Fcst '!BS16</f>
        <v>0</v>
      </c>
      <c r="L15" s="41">
        <f t="shared" si="0"/>
        <v>0</v>
      </c>
      <c r="M15" s="23">
        <f>'Sm Comm Cust Fcst'!F16</f>
        <v>0</v>
      </c>
      <c r="N15" s="23">
        <f>'Sm Comm Cust Fcst'!G16</f>
        <v>0</v>
      </c>
      <c r="O15" s="23">
        <f>'Sm Comm Cust Fcst'!M16</f>
        <v>0</v>
      </c>
      <c r="P15" s="23">
        <f>'Sm Comm Cust Fcst'!T16</f>
        <v>0</v>
      </c>
      <c r="Q15" s="23">
        <f>'Sm Comm Cust Fcst'!AA16</f>
        <v>0</v>
      </c>
      <c r="R15" s="41">
        <f t="shared" si="1"/>
        <v>0</v>
      </c>
      <c r="S15" s="23">
        <f>'Sch AL-TOU Cust Fcst'!F14</f>
        <v>104</v>
      </c>
      <c r="T15" s="23">
        <f>'Sch AL-TOU Cust Fcst'!G14</f>
        <v>5</v>
      </c>
      <c r="U15" s="23">
        <f>'Sch AL-TOU Cust Fcst'!H14</f>
        <v>0</v>
      </c>
      <c r="V15" s="23">
        <f>'Sch DG-R Cust Fcst'!F14</f>
        <v>19</v>
      </c>
      <c r="W15" s="23">
        <f>'Sch DG-R Cust Fcst'!G14</f>
        <v>2</v>
      </c>
      <c r="X15" s="23">
        <f>'Sch A6-TOU Cust Fcst '!B14</f>
        <v>0</v>
      </c>
      <c r="Y15" s="23">
        <f>'Sch A6-TOU Cust Fcst '!C14</f>
        <v>0</v>
      </c>
      <c r="Z15" s="23">
        <f>'Sch OL-TOU Cust Fcst'!F14</f>
        <v>3</v>
      </c>
      <c r="AA15" s="41">
        <f t="shared" si="2"/>
        <v>133</v>
      </c>
      <c r="AB15" s="23"/>
      <c r="AC15" s="23"/>
      <c r="AD15" s="23">
        <f>'Sch TOU-PA Cust Fcst'!F14</f>
        <v>0</v>
      </c>
      <c r="AE15" s="23">
        <f>'Sch TOU-PA Cust Fcst'!G14</f>
        <v>0</v>
      </c>
      <c r="AF15" s="41">
        <f t="shared" si="3"/>
        <v>0</v>
      </c>
      <c r="AG15" s="109"/>
      <c r="AH15" s="109">
        <f t="shared" si="4"/>
        <v>126</v>
      </c>
      <c r="AI15" s="23">
        <f t="shared" si="5"/>
        <v>7</v>
      </c>
      <c r="AJ15" s="23">
        <f t="shared" si="6"/>
        <v>133</v>
      </c>
      <c r="AK15" s="136"/>
      <c r="AL15" s="136">
        <f t="shared" si="7"/>
        <v>133</v>
      </c>
    </row>
    <row r="16" spans="1:38" ht="13">
      <c r="A16" s="22" t="s">
        <v>101</v>
      </c>
      <c r="B16" s="109">
        <f>'Resid Cust Fcst '!H17</f>
        <v>0</v>
      </c>
      <c r="C16" s="23">
        <f>'Resid Cust Fcst '!O17</f>
        <v>0</v>
      </c>
      <c r="D16" s="23">
        <f>'Resid Cust Fcst '!V17</f>
        <v>0</v>
      </c>
      <c r="E16" s="23">
        <f>'Resid Cust Fcst '!AC17</f>
        <v>0</v>
      </c>
      <c r="F16" s="23">
        <f>'Resid Cust Fcst '!AJ17</f>
        <v>0</v>
      </c>
      <c r="G16" s="23">
        <f>'Resid Cust Fcst '!AQ17</f>
        <v>0</v>
      </c>
      <c r="H16" s="23">
        <f>'Resid Cust Fcst '!AX17</f>
        <v>0</v>
      </c>
      <c r="I16" s="23">
        <f>'Resid Cust Fcst '!BE17</f>
        <v>0</v>
      </c>
      <c r="J16" s="23">
        <f>'Resid Cust Fcst '!BL17</f>
        <v>0</v>
      </c>
      <c r="K16" s="23">
        <f>'Resid Cust Fcst '!BS17</f>
        <v>0</v>
      </c>
      <c r="L16" s="41">
        <f t="shared" si="0"/>
        <v>0</v>
      </c>
      <c r="M16" s="23">
        <f>'Sm Comm Cust Fcst'!F17</f>
        <v>6</v>
      </c>
      <c r="N16" s="23">
        <f>'Sm Comm Cust Fcst'!G17</f>
        <v>0</v>
      </c>
      <c r="O16" s="23">
        <f>'Sm Comm Cust Fcst'!M17</f>
        <v>0</v>
      </c>
      <c r="P16" s="23">
        <f>'Sm Comm Cust Fcst'!T17</f>
        <v>0</v>
      </c>
      <c r="Q16" s="23">
        <f>'Sm Comm Cust Fcst'!AA17</f>
        <v>0</v>
      </c>
      <c r="R16" s="41">
        <f t="shared" si="1"/>
        <v>6</v>
      </c>
      <c r="S16" s="23">
        <f>'Sch AL-TOU Cust Fcst'!F15</f>
        <v>140</v>
      </c>
      <c r="T16" s="23">
        <f>'Sch AL-TOU Cust Fcst'!G15</f>
        <v>6</v>
      </c>
      <c r="U16" s="23">
        <f>'Sch AL-TOU Cust Fcst'!H15</f>
        <v>0</v>
      </c>
      <c r="V16" s="23">
        <f>'Sch DG-R Cust Fcst'!F15</f>
        <v>17</v>
      </c>
      <c r="W16" s="23">
        <f>'Sch DG-R Cust Fcst'!G15</f>
        <v>1</v>
      </c>
      <c r="X16" s="23">
        <f>'Sch A6-TOU Cust Fcst '!B15</f>
        <v>0</v>
      </c>
      <c r="Y16" s="23">
        <f>'Sch A6-TOU Cust Fcst '!C15</f>
        <v>0</v>
      </c>
      <c r="Z16" s="23">
        <f>'Sch OL-TOU Cust Fcst'!F15</f>
        <v>0</v>
      </c>
      <c r="AA16" s="41">
        <f t="shared" si="2"/>
        <v>164</v>
      </c>
      <c r="AB16" s="23"/>
      <c r="AC16" s="23"/>
      <c r="AD16" s="23">
        <f>'Sch TOU-PA Cust Fcst'!F15</f>
        <v>0</v>
      </c>
      <c r="AE16" s="23">
        <f>'Sch TOU-PA Cust Fcst'!G15</f>
        <v>0</v>
      </c>
      <c r="AF16" s="41">
        <f t="shared" si="3"/>
        <v>0</v>
      </c>
      <c r="AG16" s="109"/>
      <c r="AH16" s="109">
        <f t="shared" si="4"/>
        <v>163</v>
      </c>
      <c r="AI16" s="23">
        <f t="shared" si="5"/>
        <v>7</v>
      </c>
      <c r="AJ16" s="23">
        <f t="shared" si="6"/>
        <v>170</v>
      </c>
      <c r="AK16" s="136"/>
      <c r="AL16" s="136">
        <f t="shared" si="7"/>
        <v>170</v>
      </c>
    </row>
    <row r="17" spans="1:38" ht="13">
      <c r="A17" s="22" t="s">
        <v>102</v>
      </c>
      <c r="B17" s="109">
        <f>'Resid Cust Fcst '!H18</f>
        <v>0</v>
      </c>
      <c r="C17" s="23">
        <f>'Resid Cust Fcst '!O18</f>
        <v>0</v>
      </c>
      <c r="D17" s="23">
        <f>'Resid Cust Fcst '!V18</f>
        <v>0</v>
      </c>
      <c r="E17" s="23">
        <f>'Resid Cust Fcst '!AC18</f>
        <v>0</v>
      </c>
      <c r="F17" s="23">
        <f>'Resid Cust Fcst '!AJ18</f>
        <v>0</v>
      </c>
      <c r="G17" s="23">
        <f>'Resid Cust Fcst '!AQ18</f>
        <v>0</v>
      </c>
      <c r="H17" s="23">
        <f>'Resid Cust Fcst '!AX18</f>
        <v>0</v>
      </c>
      <c r="I17" s="23">
        <f>'Resid Cust Fcst '!BE18</f>
        <v>0</v>
      </c>
      <c r="J17" s="23">
        <f>'Resid Cust Fcst '!BL18</f>
        <v>0</v>
      </c>
      <c r="K17" s="23">
        <f>'Resid Cust Fcst '!BS18</f>
        <v>0</v>
      </c>
      <c r="L17" s="41">
        <f t="shared" si="0"/>
        <v>0</v>
      </c>
      <c r="M17" s="23">
        <f>'Sm Comm Cust Fcst'!F18</f>
        <v>0</v>
      </c>
      <c r="N17" s="23">
        <f>'Sm Comm Cust Fcst'!G18</f>
        <v>0</v>
      </c>
      <c r="O17" s="23">
        <f>'Sm Comm Cust Fcst'!M18</f>
        <v>0</v>
      </c>
      <c r="P17" s="23">
        <f>'Sm Comm Cust Fcst'!T18</f>
        <v>0</v>
      </c>
      <c r="Q17" s="23">
        <f>'Sm Comm Cust Fcst'!AA18</f>
        <v>0</v>
      </c>
      <c r="R17" s="41">
        <f t="shared" si="1"/>
        <v>0</v>
      </c>
      <c r="S17" s="23">
        <f>'Sch AL-TOU Cust Fcst'!F16</f>
        <v>103</v>
      </c>
      <c r="T17" s="23">
        <f>'Sch AL-TOU Cust Fcst'!G16</f>
        <v>6</v>
      </c>
      <c r="U17" s="23">
        <f>'Sch AL-TOU Cust Fcst'!H16</f>
        <v>0</v>
      </c>
      <c r="V17" s="23">
        <f>'Sch DG-R Cust Fcst'!F16</f>
        <v>16</v>
      </c>
      <c r="W17" s="23">
        <f>'Sch DG-R Cust Fcst'!G16</f>
        <v>0</v>
      </c>
      <c r="X17" s="23">
        <f>'Sch A6-TOU Cust Fcst '!B16</f>
        <v>0</v>
      </c>
      <c r="Y17" s="23">
        <f>'Sch A6-TOU Cust Fcst '!C16</f>
        <v>0</v>
      </c>
      <c r="Z17" s="23">
        <f>'Sch OL-TOU Cust Fcst'!F16</f>
        <v>0</v>
      </c>
      <c r="AA17" s="41">
        <f t="shared" si="2"/>
        <v>125</v>
      </c>
      <c r="AB17" s="23"/>
      <c r="AC17" s="23"/>
      <c r="AD17" s="23">
        <f>'Sch TOU-PA Cust Fcst'!F16</f>
        <v>0</v>
      </c>
      <c r="AE17" s="23">
        <f>'Sch TOU-PA Cust Fcst'!G16</f>
        <v>0</v>
      </c>
      <c r="AF17" s="41">
        <f t="shared" si="3"/>
        <v>0</v>
      </c>
      <c r="AG17" s="109"/>
      <c r="AH17" s="109">
        <f t="shared" si="4"/>
        <v>119</v>
      </c>
      <c r="AI17" s="23">
        <f t="shared" si="5"/>
        <v>6</v>
      </c>
      <c r="AJ17" s="23">
        <f t="shared" si="6"/>
        <v>125</v>
      </c>
      <c r="AK17" s="136"/>
      <c r="AL17" s="136">
        <f t="shared" si="7"/>
        <v>125</v>
      </c>
    </row>
    <row r="18" spans="1:38" ht="13">
      <c r="A18" s="22" t="s">
        <v>12</v>
      </c>
      <c r="B18" s="109">
        <f>'Resid Cust Fcst '!H19</f>
        <v>0</v>
      </c>
      <c r="C18" s="23">
        <f>'Resid Cust Fcst '!O19</f>
        <v>0</v>
      </c>
      <c r="D18" s="23">
        <f>'Resid Cust Fcst '!V19</f>
        <v>0</v>
      </c>
      <c r="E18" s="23">
        <f>'Resid Cust Fcst '!AC19</f>
        <v>0</v>
      </c>
      <c r="F18" s="23">
        <f>'Resid Cust Fcst '!AJ19</f>
        <v>0</v>
      </c>
      <c r="G18" s="23">
        <f>'Resid Cust Fcst '!AQ19</f>
        <v>0</v>
      </c>
      <c r="H18" s="23">
        <f>'Resid Cust Fcst '!AX19</f>
        <v>0</v>
      </c>
      <c r="I18" s="23">
        <f>'Resid Cust Fcst '!BE19</f>
        <v>0</v>
      </c>
      <c r="J18" s="23">
        <f>'Resid Cust Fcst '!BL19</f>
        <v>0</v>
      </c>
      <c r="K18" s="23">
        <f>'Resid Cust Fcst '!BS19</f>
        <v>0</v>
      </c>
      <c r="L18" s="41">
        <f t="shared" si="0"/>
        <v>0</v>
      </c>
      <c r="M18" s="23">
        <f>'Sm Comm Cust Fcst'!F19</f>
        <v>0</v>
      </c>
      <c r="N18" s="23">
        <f>'Sm Comm Cust Fcst'!G19</f>
        <v>0</v>
      </c>
      <c r="O18" s="23">
        <f>'Sm Comm Cust Fcst'!M19</f>
        <v>0</v>
      </c>
      <c r="P18" s="23">
        <f>'Sm Comm Cust Fcst'!T19</f>
        <v>0</v>
      </c>
      <c r="Q18" s="23">
        <f>'Sm Comm Cust Fcst'!AA19</f>
        <v>0</v>
      </c>
      <c r="R18" s="41">
        <f t="shared" si="1"/>
        <v>0</v>
      </c>
      <c r="S18" s="23">
        <f>'Sch AL-TOU Cust Fcst'!F17</f>
        <v>103</v>
      </c>
      <c r="T18" s="23">
        <f>'Sch AL-TOU Cust Fcst'!G17</f>
        <v>3</v>
      </c>
      <c r="U18" s="23">
        <f>'Sch AL-TOU Cust Fcst'!H17</f>
        <v>0</v>
      </c>
      <c r="V18" s="23">
        <f>'Sch DG-R Cust Fcst'!F17</f>
        <v>16</v>
      </c>
      <c r="W18" s="23">
        <f>'Sch DG-R Cust Fcst'!G17</f>
        <v>3</v>
      </c>
      <c r="X18" s="23">
        <f>'Sch A6-TOU Cust Fcst '!B17</f>
        <v>0</v>
      </c>
      <c r="Y18" s="23">
        <f>'Sch A6-TOU Cust Fcst '!C17</f>
        <v>0</v>
      </c>
      <c r="Z18" s="23">
        <f>'Sch OL-TOU Cust Fcst'!F17</f>
        <v>0</v>
      </c>
      <c r="AA18" s="41">
        <f t="shared" si="2"/>
        <v>125</v>
      </c>
      <c r="AB18" s="23"/>
      <c r="AC18" s="23"/>
      <c r="AD18" s="23">
        <f>'Sch TOU-PA Cust Fcst'!F17</f>
        <v>0</v>
      </c>
      <c r="AE18" s="23">
        <f>'Sch TOU-PA Cust Fcst'!G17</f>
        <v>0</v>
      </c>
      <c r="AF18" s="41">
        <f t="shared" si="3"/>
        <v>0</v>
      </c>
      <c r="AG18" s="109"/>
      <c r="AH18" s="109">
        <f t="shared" si="4"/>
        <v>119</v>
      </c>
      <c r="AI18" s="23">
        <f t="shared" si="5"/>
        <v>6</v>
      </c>
      <c r="AJ18" s="23">
        <f t="shared" si="6"/>
        <v>125</v>
      </c>
      <c r="AK18" s="136"/>
      <c r="AL18" s="136">
        <f t="shared" si="7"/>
        <v>125</v>
      </c>
    </row>
    <row r="19" spans="1:38" ht="13">
      <c r="A19" s="22" t="s">
        <v>13</v>
      </c>
      <c r="B19" s="109">
        <f>'Resid Cust Fcst '!H20</f>
        <v>0</v>
      </c>
      <c r="C19" s="23">
        <f>'Resid Cust Fcst '!O20</f>
        <v>0</v>
      </c>
      <c r="D19" s="23">
        <f>'Resid Cust Fcst '!V20</f>
        <v>0</v>
      </c>
      <c r="E19" s="23">
        <f>'Resid Cust Fcst '!AC20</f>
        <v>0</v>
      </c>
      <c r="F19" s="23">
        <f>'Resid Cust Fcst '!AJ20</f>
        <v>0</v>
      </c>
      <c r="G19" s="23">
        <f>'Resid Cust Fcst '!AQ20</f>
        <v>0</v>
      </c>
      <c r="H19" s="23">
        <f>'Resid Cust Fcst '!AX20</f>
        <v>0</v>
      </c>
      <c r="I19" s="23">
        <f>'Resid Cust Fcst '!BE20</f>
        <v>0</v>
      </c>
      <c r="J19" s="23">
        <f>'Resid Cust Fcst '!BL20</f>
        <v>0</v>
      </c>
      <c r="K19" s="23">
        <f>'Resid Cust Fcst '!BS20</f>
        <v>0</v>
      </c>
      <c r="L19" s="41">
        <f t="shared" si="0"/>
        <v>0</v>
      </c>
      <c r="M19" s="23">
        <f>'Sm Comm Cust Fcst'!F20</f>
        <v>0</v>
      </c>
      <c r="N19" s="23">
        <f>'Sm Comm Cust Fcst'!G20</f>
        <v>0</v>
      </c>
      <c r="O19" s="23">
        <f>'Sm Comm Cust Fcst'!M20</f>
        <v>0</v>
      </c>
      <c r="P19" s="23">
        <f>'Sm Comm Cust Fcst'!T20</f>
        <v>0</v>
      </c>
      <c r="Q19" s="23">
        <f>'Sm Comm Cust Fcst'!AA20</f>
        <v>0</v>
      </c>
      <c r="R19" s="41">
        <f t="shared" si="1"/>
        <v>0</v>
      </c>
      <c r="S19" s="23">
        <f>'Sch AL-TOU Cust Fcst'!F18</f>
        <v>29</v>
      </c>
      <c r="T19" s="23">
        <f>'Sch AL-TOU Cust Fcst'!G18</f>
        <v>11</v>
      </c>
      <c r="U19" s="23">
        <f>'Sch AL-TOU Cust Fcst'!H18</f>
        <v>0</v>
      </c>
      <c r="V19" s="23">
        <f>'Sch DG-R Cust Fcst'!F18</f>
        <v>8</v>
      </c>
      <c r="W19" s="23">
        <f>'Sch DG-R Cust Fcst'!G18</f>
        <v>0</v>
      </c>
      <c r="X19" s="23">
        <f>'Sch A6-TOU Cust Fcst '!B18</f>
        <v>0</v>
      </c>
      <c r="Y19" s="23">
        <f>'Sch A6-TOU Cust Fcst '!C18</f>
        <v>0</v>
      </c>
      <c r="Z19" s="23">
        <f>'Sch OL-TOU Cust Fcst'!F18</f>
        <v>0</v>
      </c>
      <c r="AA19" s="41">
        <f t="shared" si="2"/>
        <v>48</v>
      </c>
      <c r="AB19" s="23"/>
      <c r="AC19" s="23"/>
      <c r="AD19" s="23">
        <f>'Sch TOU-PA Cust Fcst'!F18</f>
        <v>0</v>
      </c>
      <c r="AE19" s="23">
        <f>'Sch TOU-PA Cust Fcst'!G18</f>
        <v>0</v>
      </c>
      <c r="AF19" s="41">
        <f t="shared" si="3"/>
        <v>0</v>
      </c>
      <c r="AG19" s="109"/>
      <c r="AH19" s="109">
        <f t="shared" si="4"/>
        <v>37</v>
      </c>
      <c r="AI19" s="23">
        <f t="shared" si="5"/>
        <v>11</v>
      </c>
      <c r="AJ19" s="23">
        <f t="shared" si="6"/>
        <v>48</v>
      </c>
      <c r="AK19" s="136"/>
      <c r="AL19" s="136">
        <f t="shared" si="7"/>
        <v>48</v>
      </c>
    </row>
    <row r="20" spans="1:38" ht="13">
      <c r="A20" s="22" t="s">
        <v>103</v>
      </c>
      <c r="B20" s="109">
        <f>'Resid Cust Fcst '!H21</f>
        <v>0</v>
      </c>
      <c r="C20" s="23">
        <f>'Resid Cust Fcst '!O21</f>
        <v>0</v>
      </c>
      <c r="D20" s="23">
        <f>'Resid Cust Fcst '!V21</f>
        <v>0</v>
      </c>
      <c r="E20" s="23">
        <f>'Resid Cust Fcst '!AC21</f>
        <v>0</v>
      </c>
      <c r="F20" s="23">
        <f>'Resid Cust Fcst '!AJ21</f>
        <v>0</v>
      </c>
      <c r="G20" s="23">
        <f>'Resid Cust Fcst '!AQ21</f>
        <v>0</v>
      </c>
      <c r="H20" s="23">
        <f>'Resid Cust Fcst '!AX21</f>
        <v>0</v>
      </c>
      <c r="I20" s="23">
        <f>'Resid Cust Fcst '!BE21</f>
        <v>0</v>
      </c>
      <c r="J20" s="23">
        <f>'Resid Cust Fcst '!BL21</f>
        <v>0</v>
      </c>
      <c r="K20" s="23">
        <f>'Resid Cust Fcst '!BS21</f>
        <v>0</v>
      </c>
      <c r="L20" s="41">
        <f t="shared" si="0"/>
        <v>0</v>
      </c>
      <c r="M20" s="23">
        <f>'Sm Comm Cust Fcst'!F21</f>
        <v>0</v>
      </c>
      <c r="N20" s="23">
        <f>'Sm Comm Cust Fcst'!G21</f>
        <v>0</v>
      </c>
      <c r="O20" s="23">
        <f>'Sm Comm Cust Fcst'!M21</f>
        <v>0</v>
      </c>
      <c r="P20" s="23">
        <f>'Sm Comm Cust Fcst'!T21</f>
        <v>0</v>
      </c>
      <c r="Q20" s="23">
        <f>'Sm Comm Cust Fcst'!AA21</f>
        <v>0</v>
      </c>
      <c r="R20" s="41">
        <f t="shared" si="1"/>
        <v>0</v>
      </c>
      <c r="S20" s="23">
        <f>'Sch AL-TOU Cust Fcst'!F19</f>
        <v>12</v>
      </c>
      <c r="T20" s="23">
        <f>'Sch AL-TOU Cust Fcst'!G19</f>
        <v>1</v>
      </c>
      <c r="U20" s="23">
        <f>'Sch AL-TOU Cust Fcst'!H19</f>
        <v>0</v>
      </c>
      <c r="V20" s="23">
        <f>'Sch DG-R Cust Fcst'!F19</f>
        <v>3</v>
      </c>
      <c r="W20" s="23">
        <f>'Sch DG-R Cust Fcst'!G19</f>
        <v>1</v>
      </c>
      <c r="X20" s="23">
        <f>'Sch A6-TOU Cust Fcst '!B19</f>
        <v>0</v>
      </c>
      <c r="Y20" s="23">
        <f>'Sch A6-TOU Cust Fcst '!C19</f>
        <v>0</v>
      </c>
      <c r="Z20" s="23">
        <f>'Sch OL-TOU Cust Fcst'!F19</f>
        <v>0</v>
      </c>
      <c r="AA20" s="41">
        <f t="shared" si="2"/>
        <v>17</v>
      </c>
      <c r="AB20" s="23"/>
      <c r="AC20" s="23"/>
      <c r="AD20" s="23">
        <f>'Sch TOU-PA Cust Fcst'!F19</f>
        <v>1</v>
      </c>
      <c r="AE20" s="23">
        <f>'Sch TOU-PA Cust Fcst'!G19</f>
        <v>0</v>
      </c>
      <c r="AF20" s="41">
        <f t="shared" si="3"/>
        <v>1</v>
      </c>
      <c r="AG20" s="109"/>
      <c r="AH20" s="109">
        <f t="shared" si="4"/>
        <v>16</v>
      </c>
      <c r="AI20" s="23">
        <f t="shared" si="5"/>
        <v>2</v>
      </c>
      <c r="AJ20" s="23">
        <f t="shared" si="6"/>
        <v>18</v>
      </c>
      <c r="AK20" s="136"/>
      <c r="AL20" s="136">
        <f t="shared" si="7"/>
        <v>18</v>
      </c>
    </row>
    <row r="21" spans="1:38" ht="13">
      <c r="A21" s="22" t="s">
        <v>104</v>
      </c>
      <c r="B21" s="109">
        <f>'Resid Cust Fcst '!H22</f>
        <v>0</v>
      </c>
      <c r="C21" s="23">
        <f>'Resid Cust Fcst '!O22</f>
        <v>0</v>
      </c>
      <c r="D21" s="23">
        <f>'Resid Cust Fcst '!V22</f>
        <v>0</v>
      </c>
      <c r="E21" s="23">
        <f>'Resid Cust Fcst '!AC22</f>
        <v>0</v>
      </c>
      <c r="F21" s="23">
        <f>'Resid Cust Fcst '!AJ22</f>
        <v>0</v>
      </c>
      <c r="G21" s="23">
        <f>'Resid Cust Fcst '!AQ22</f>
        <v>0</v>
      </c>
      <c r="H21" s="23">
        <f>'Resid Cust Fcst '!AX22</f>
        <v>0</v>
      </c>
      <c r="I21" s="23">
        <f>'Resid Cust Fcst '!BE22</f>
        <v>0</v>
      </c>
      <c r="J21" s="23">
        <f>'Resid Cust Fcst '!BL22</f>
        <v>0</v>
      </c>
      <c r="K21" s="23">
        <f>'Resid Cust Fcst '!BS22</f>
        <v>0</v>
      </c>
      <c r="L21" s="41">
        <f t="shared" si="0"/>
        <v>0</v>
      </c>
      <c r="M21" s="23">
        <f>'Sm Comm Cust Fcst'!F22</f>
        <v>0</v>
      </c>
      <c r="N21" s="23">
        <f>'Sm Comm Cust Fcst'!G22</f>
        <v>0</v>
      </c>
      <c r="O21" s="23">
        <f>'Sm Comm Cust Fcst'!M22</f>
        <v>0</v>
      </c>
      <c r="P21" s="23">
        <f>'Sm Comm Cust Fcst'!T22</f>
        <v>0</v>
      </c>
      <c r="Q21" s="23">
        <f>'Sm Comm Cust Fcst'!AA22</f>
        <v>0</v>
      </c>
      <c r="R21" s="41">
        <f t="shared" si="1"/>
        <v>0</v>
      </c>
      <c r="S21" s="23">
        <f>'Sch AL-TOU Cust Fcst'!F20</f>
        <v>7</v>
      </c>
      <c r="T21" s="23">
        <f>'Sch AL-TOU Cust Fcst'!G20</f>
        <v>0</v>
      </c>
      <c r="U21" s="23">
        <f>'Sch AL-TOU Cust Fcst'!H20</f>
        <v>0</v>
      </c>
      <c r="V21" s="23">
        <f>'Sch DG-R Cust Fcst'!F20</f>
        <v>1</v>
      </c>
      <c r="W21" s="23">
        <f>'Sch DG-R Cust Fcst'!G20</f>
        <v>0</v>
      </c>
      <c r="X21" s="23">
        <f>'Sch A6-TOU Cust Fcst '!B20</f>
        <v>0</v>
      </c>
      <c r="Y21" s="23">
        <f>'Sch A6-TOU Cust Fcst '!C20</f>
        <v>0</v>
      </c>
      <c r="Z21" s="23">
        <f>'Sch OL-TOU Cust Fcst'!F20</f>
        <v>0</v>
      </c>
      <c r="AA21" s="41">
        <f t="shared" si="2"/>
        <v>8</v>
      </c>
      <c r="AB21" s="23"/>
      <c r="AC21" s="23"/>
      <c r="AD21" s="23">
        <f>'Sch TOU-PA Cust Fcst'!F20</f>
        <v>0</v>
      </c>
      <c r="AE21" s="23">
        <f>'Sch TOU-PA Cust Fcst'!G20</f>
        <v>0</v>
      </c>
      <c r="AF21" s="41">
        <f t="shared" si="3"/>
        <v>0</v>
      </c>
      <c r="AG21" s="109"/>
      <c r="AH21" s="109">
        <f t="shared" si="4"/>
        <v>8</v>
      </c>
      <c r="AI21" s="23">
        <f t="shared" si="5"/>
        <v>0</v>
      </c>
      <c r="AJ21" s="23">
        <f t="shared" si="6"/>
        <v>8</v>
      </c>
      <c r="AK21" s="136"/>
      <c r="AL21" s="136">
        <f t="shared" si="7"/>
        <v>8</v>
      </c>
    </row>
    <row r="22" spans="1:38" ht="13">
      <c r="A22" s="22" t="s">
        <v>14</v>
      </c>
      <c r="B22" s="109">
        <f>'Resid Cust Fcst '!H23</f>
        <v>0</v>
      </c>
      <c r="C22" s="23">
        <f>'Resid Cust Fcst '!O23</f>
        <v>0</v>
      </c>
      <c r="D22" s="23">
        <f>'Resid Cust Fcst '!V23</f>
        <v>0</v>
      </c>
      <c r="E22" s="23">
        <f>'Resid Cust Fcst '!AC23</f>
        <v>0</v>
      </c>
      <c r="F22" s="23">
        <f>'Resid Cust Fcst '!AJ23</f>
        <v>0</v>
      </c>
      <c r="G22" s="23">
        <f>'Resid Cust Fcst '!AQ23</f>
        <v>0</v>
      </c>
      <c r="H22" s="23">
        <f>'Resid Cust Fcst '!AX23</f>
        <v>0</v>
      </c>
      <c r="I22" s="23">
        <f>'Resid Cust Fcst '!BE23</f>
        <v>0</v>
      </c>
      <c r="J22" s="23">
        <f>'Resid Cust Fcst '!BL23</f>
        <v>0</v>
      </c>
      <c r="K22" s="23">
        <f>'Resid Cust Fcst '!BS23</f>
        <v>0</v>
      </c>
      <c r="L22" s="41">
        <f t="shared" si="0"/>
        <v>0</v>
      </c>
      <c r="M22" s="23">
        <f>'Sm Comm Cust Fcst'!F23</f>
        <v>0</v>
      </c>
      <c r="N22" s="23">
        <f>'Sm Comm Cust Fcst'!G23</f>
        <v>0</v>
      </c>
      <c r="O22" s="23">
        <f>'Sm Comm Cust Fcst'!M23</f>
        <v>0</v>
      </c>
      <c r="P22" s="23">
        <f>'Sm Comm Cust Fcst'!T23</f>
        <v>0</v>
      </c>
      <c r="Q22" s="23">
        <f>'Sm Comm Cust Fcst'!AA23</f>
        <v>0</v>
      </c>
      <c r="R22" s="41">
        <f t="shared" si="1"/>
        <v>0</v>
      </c>
      <c r="S22" s="23">
        <f>'Sch AL-TOU Cust Fcst'!F21</f>
        <v>10</v>
      </c>
      <c r="T22" s="23">
        <f>'Sch AL-TOU Cust Fcst'!G21</f>
        <v>3</v>
      </c>
      <c r="U22" s="23">
        <f>'Sch AL-TOU Cust Fcst'!H21</f>
        <v>0</v>
      </c>
      <c r="V22" s="23">
        <f>'Sch DG-R Cust Fcst'!F21</f>
        <v>1</v>
      </c>
      <c r="W22" s="23">
        <f>'Sch DG-R Cust Fcst'!G21</f>
        <v>3</v>
      </c>
      <c r="X22" s="23">
        <f>'Sch A6-TOU Cust Fcst '!B21</f>
        <v>0</v>
      </c>
      <c r="Y22" s="23">
        <f>'Sch A6-TOU Cust Fcst '!C21</f>
        <v>0</v>
      </c>
      <c r="Z22" s="23">
        <f>'Sch OL-TOU Cust Fcst'!F21</f>
        <v>0</v>
      </c>
      <c r="AA22" s="41">
        <f t="shared" si="2"/>
        <v>17</v>
      </c>
      <c r="AB22" s="23"/>
      <c r="AC22" s="23"/>
      <c r="AD22" s="23">
        <f>'Sch TOU-PA Cust Fcst'!F21</f>
        <v>0</v>
      </c>
      <c r="AE22" s="23">
        <f>'Sch TOU-PA Cust Fcst'!G21</f>
        <v>0</v>
      </c>
      <c r="AF22" s="41">
        <f t="shared" si="3"/>
        <v>0</v>
      </c>
      <c r="AG22" s="109"/>
      <c r="AH22" s="109">
        <f t="shared" si="4"/>
        <v>11</v>
      </c>
      <c r="AI22" s="23">
        <f t="shared" si="5"/>
        <v>6</v>
      </c>
      <c r="AJ22" s="23">
        <f t="shared" si="6"/>
        <v>17</v>
      </c>
      <c r="AK22" s="136"/>
      <c r="AL22" s="136">
        <f t="shared" si="7"/>
        <v>17</v>
      </c>
    </row>
    <row r="23" spans="1:38" ht="13">
      <c r="A23" s="22" t="s">
        <v>15</v>
      </c>
      <c r="B23" s="109">
        <f>'Resid Cust Fcst '!H24</f>
        <v>0</v>
      </c>
      <c r="C23" s="23">
        <f>'Resid Cust Fcst '!O24</f>
        <v>0</v>
      </c>
      <c r="D23" s="23">
        <f>'Resid Cust Fcst '!V24</f>
        <v>0</v>
      </c>
      <c r="E23" s="23">
        <f>'Resid Cust Fcst '!AC24</f>
        <v>0</v>
      </c>
      <c r="F23" s="23">
        <f>'Resid Cust Fcst '!AJ24</f>
        <v>0</v>
      </c>
      <c r="G23" s="23">
        <f>'Resid Cust Fcst '!AQ24</f>
        <v>0</v>
      </c>
      <c r="H23" s="23">
        <f>'Resid Cust Fcst '!AX24</f>
        <v>0</v>
      </c>
      <c r="I23" s="23">
        <f>'Resid Cust Fcst '!BE24</f>
        <v>0</v>
      </c>
      <c r="J23" s="23">
        <f>'Resid Cust Fcst '!BL24</f>
        <v>0</v>
      </c>
      <c r="K23" s="23">
        <f>'Resid Cust Fcst '!BS24</f>
        <v>0</v>
      </c>
      <c r="L23" s="41">
        <f t="shared" si="0"/>
        <v>0</v>
      </c>
      <c r="M23" s="23">
        <f>'Sm Comm Cust Fcst'!F24</f>
        <v>0</v>
      </c>
      <c r="N23" s="23">
        <f>'Sm Comm Cust Fcst'!G24</f>
        <v>0</v>
      </c>
      <c r="O23" s="23">
        <f>'Sm Comm Cust Fcst'!M24</f>
        <v>0</v>
      </c>
      <c r="P23" s="23">
        <f>'Sm Comm Cust Fcst'!T24</f>
        <v>0</v>
      </c>
      <c r="Q23" s="23">
        <f>'Sm Comm Cust Fcst'!AA24</f>
        <v>0</v>
      </c>
      <c r="R23" s="41">
        <f t="shared" si="1"/>
        <v>0</v>
      </c>
      <c r="S23" s="23">
        <f>'Sch AL-TOU Cust Fcst'!F22</f>
        <v>2</v>
      </c>
      <c r="T23" s="23">
        <f>'Sch AL-TOU Cust Fcst'!G22</f>
        <v>0</v>
      </c>
      <c r="U23" s="23">
        <f>'Sch AL-TOU Cust Fcst'!H22</f>
        <v>0</v>
      </c>
      <c r="V23" s="23">
        <f>'Sch DG-R Cust Fcst'!F22</f>
        <v>1</v>
      </c>
      <c r="W23" s="23">
        <f>'Sch DG-R Cust Fcst'!G22</f>
        <v>2</v>
      </c>
      <c r="X23" s="23">
        <f>'Sch A6-TOU Cust Fcst '!B22</f>
        <v>0</v>
      </c>
      <c r="Y23" s="23">
        <f>'Sch A6-TOU Cust Fcst '!C22</f>
        <v>0</v>
      </c>
      <c r="Z23" s="23">
        <f>'Sch OL-TOU Cust Fcst'!F22</f>
        <v>0</v>
      </c>
      <c r="AA23" s="41">
        <f t="shared" si="2"/>
        <v>5</v>
      </c>
      <c r="AB23" s="23"/>
      <c r="AC23" s="23"/>
      <c r="AD23" s="23">
        <f>'Sch TOU-PA Cust Fcst'!F22</f>
        <v>0</v>
      </c>
      <c r="AE23" s="23">
        <f>'Sch TOU-PA Cust Fcst'!G22</f>
        <v>0</v>
      </c>
      <c r="AF23" s="41">
        <f t="shared" si="3"/>
        <v>0</v>
      </c>
      <c r="AG23" s="109"/>
      <c r="AH23" s="109">
        <f t="shared" si="4"/>
        <v>3</v>
      </c>
      <c r="AI23" s="23">
        <f t="shared" si="5"/>
        <v>2</v>
      </c>
      <c r="AJ23" s="23">
        <f t="shared" si="6"/>
        <v>5</v>
      </c>
      <c r="AK23" s="136"/>
      <c r="AL23" s="136">
        <f t="shared" si="7"/>
        <v>5</v>
      </c>
    </row>
    <row r="24" spans="1:38" ht="13">
      <c r="A24" s="21" t="s">
        <v>16</v>
      </c>
      <c r="B24" s="109">
        <f>'Resid Cust Fcst '!H25</f>
        <v>0</v>
      </c>
      <c r="C24" s="23">
        <f>'Resid Cust Fcst '!O25</f>
        <v>0</v>
      </c>
      <c r="D24" s="23">
        <f>'Resid Cust Fcst '!V25</f>
        <v>0</v>
      </c>
      <c r="E24" s="23">
        <f>'Resid Cust Fcst '!AC25</f>
        <v>0</v>
      </c>
      <c r="F24" s="23">
        <f>'Resid Cust Fcst '!AJ25</f>
        <v>0</v>
      </c>
      <c r="G24" s="23">
        <f>'Resid Cust Fcst '!AQ25</f>
        <v>0</v>
      </c>
      <c r="H24" s="23">
        <f>'Resid Cust Fcst '!AX25</f>
        <v>0</v>
      </c>
      <c r="I24" s="23">
        <f>'Resid Cust Fcst '!BE25</f>
        <v>0</v>
      </c>
      <c r="J24" s="23">
        <f>'Resid Cust Fcst '!BL25</f>
        <v>0</v>
      </c>
      <c r="K24" s="23">
        <f>'Resid Cust Fcst '!BS25</f>
        <v>0</v>
      </c>
      <c r="L24" s="41">
        <f t="shared" si="0"/>
        <v>0</v>
      </c>
      <c r="M24" s="23">
        <f>'Sm Comm Cust Fcst'!F25</f>
        <v>0</v>
      </c>
      <c r="N24" s="23">
        <f>'Sm Comm Cust Fcst'!G25</f>
        <v>0</v>
      </c>
      <c r="O24" s="23">
        <f>'Sm Comm Cust Fcst'!M25</f>
        <v>0</v>
      </c>
      <c r="P24" s="23">
        <f>'Sm Comm Cust Fcst'!T25</f>
        <v>0</v>
      </c>
      <c r="Q24" s="23">
        <f>'Sm Comm Cust Fcst'!AA25</f>
        <v>0</v>
      </c>
      <c r="R24" s="41">
        <f t="shared" si="1"/>
        <v>0</v>
      </c>
      <c r="S24" s="23">
        <f>'Sch AL-TOU Cust Fcst'!F23</f>
        <v>0</v>
      </c>
      <c r="T24" s="23">
        <f>'Sch AL-TOU Cust Fcst'!G23</f>
        <v>1</v>
      </c>
      <c r="U24" s="23">
        <f>'Sch AL-TOU Cust Fcst'!H23</f>
        <v>0</v>
      </c>
      <c r="V24" s="23">
        <f>'Sch DG-R Cust Fcst'!F23</f>
        <v>0</v>
      </c>
      <c r="W24" s="23">
        <f>'Sch DG-R Cust Fcst'!G23</f>
        <v>0</v>
      </c>
      <c r="X24" s="23">
        <f>'Sch A6-TOU Cust Fcst '!B23</f>
        <v>0</v>
      </c>
      <c r="Y24" s="23">
        <f>'Sch A6-TOU Cust Fcst '!C23</f>
        <v>0</v>
      </c>
      <c r="Z24" s="23">
        <f>'Sch OL-TOU Cust Fcst'!F23</f>
        <v>0</v>
      </c>
      <c r="AA24" s="41">
        <f t="shared" si="2"/>
        <v>1</v>
      </c>
      <c r="AB24" s="23"/>
      <c r="AC24" s="23"/>
      <c r="AD24" s="23">
        <f>'Sch TOU-PA Cust Fcst'!F23</f>
        <v>0</v>
      </c>
      <c r="AE24" s="23">
        <f>'Sch TOU-PA Cust Fcst'!G23</f>
        <v>0</v>
      </c>
      <c r="AF24" s="41">
        <f t="shared" si="3"/>
        <v>0</v>
      </c>
      <c r="AG24" s="109"/>
      <c r="AH24" s="109">
        <f t="shared" si="4"/>
        <v>0</v>
      </c>
      <c r="AI24" s="23">
        <f t="shared" si="5"/>
        <v>1</v>
      </c>
      <c r="AJ24" s="23">
        <f t="shared" si="6"/>
        <v>1</v>
      </c>
      <c r="AK24" s="136"/>
      <c r="AL24" s="136">
        <f t="shared" si="7"/>
        <v>1</v>
      </c>
    </row>
    <row r="25" spans="1:38" ht="13">
      <c r="A25" s="22" t="s">
        <v>17</v>
      </c>
      <c r="B25" s="109">
        <f>'Resid Cust Fcst '!H26</f>
        <v>0</v>
      </c>
      <c r="C25" s="23">
        <f>'Resid Cust Fcst '!O26</f>
        <v>0</v>
      </c>
      <c r="D25" s="23">
        <f>'Resid Cust Fcst '!V26</f>
        <v>0</v>
      </c>
      <c r="E25" s="23">
        <f>'Resid Cust Fcst '!AC26</f>
        <v>0</v>
      </c>
      <c r="F25" s="23">
        <f>'Resid Cust Fcst '!AJ26</f>
        <v>0</v>
      </c>
      <c r="G25" s="23">
        <f>'Resid Cust Fcst '!AQ26</f>
        <v>0</v>
      </c>
      <c r="H25" s="23">
        <f>'Resid Cust Fcst '!AX26</f>
        <v>0</v>
      </c>
      <c r="I25" s="23">
        <f>'Resid Cust Fcst '!BE26</f>
        <v>0</v>
      </c>
      <c r="J25" s="23">
        <f>'Resid Cust Fcst '!BL26</f>
        <v>0</v>
      </c>
      <c r="K25" s="23">
        <f>'Resid Cust Fcst '!BS26</f>
        <v>0</v>
      </c>
      <c r="L25" s="41">
        <f t="shared" si="0"/>
        <v>0</v>
      </c>
      <c r="M25" s="23">
        <f>'Sm Comm Cust Fcst'!F26</f>
        <v>0</v>
      </c>
      <c r="N25" s="23">
        <f>'Sm Comm Cust Fcst'!G26</f>
        <v>0</v>
      </c>
      <c r="O25" s="23">
        <f>'Sm Comm Cust Fcst'!M26</f>
        <v>0</v>
      </c>
      <c r="P25" s="23">
        <f>'Sm Comm Cust Fcst'!T26</f>
        <v>0</v>
      </c>
      <c r="Q25" s="23">
        <f>'Sm Comm Cust Fcst'!AA26</f>
        <v>0</v>
      </c>
      <c r="R25" s="41">
        <f t="shared" si="1"/>
        <v>0</v>
      </c>
      <c r="S25" s="23">
        <f>'Sch AL-TOU Cust Fcst'!F24</f>
        <v>3</v>
      </c>
      <c r="T25" s="23">
        <f>'Sch AL-TOU Cust Fcst'!G24</f>
        <v>4</v>
      </c>
      <c r="U25" s="23">
        <f>'Sch AL-TOU Cust Fcst'!H24</f>
        <v>0</v>
      </c>
      <c r="V25" s="23">
        <f>'Sch DG-R Cust Fcst'!F24</f>
        <v>0</v>
      </c>
      <c r="W25" s="23">
        <f>'Sch DG-R Cust Fcst'!G24</f>
        <v>1</v>
      </c>
      <c r="X25" s="23">
        <f>'Sch A6-TOU Cust Fcst '!B24</f>
        <v>1</v>
      </c>
      <c r="Y25" s="23">
        <f>'Sch A6-TOU Cust Fcst '!C24</f>
        <v>0</v>
      </c>
      <c r="Z25" s="23">
        <f>'Sch OL-TOU Cust Fcst'!F24</f>
        <v>0</v>
      </c>
      <c r="AA25" s="41">
        <f t="shared" si="2"/>
        <v>9</v>
      </c>
      <c r="AB25" s="23"/>
      <c r="AC25" s="23"/>
      <c r="AD25" s="23">
        <f>'Sch TOU-PA Cust Fcst'!F24</f>
        <v>0</v>
      </c>
      <c r="AE25" s="23">
        <f>'Sch TOU-PA Cust Fcst'!G24</f>
        <v>0</v>
      </c>
      <c r="AF25" s="41">
        <f t="shared" si="3"/>
        <v>0</v>
      </c>
      <c r="AG25" s="109"/>
      <c r="AH25" s="109">
        <f t="shared" si="4"/>
        <v>3</v>
      </c>
      <c r="AI25" s="23">
        <f t="shared" si="5"/>
        <v>6</v>
      </c>
      <c r="AJ25" s="23">
        <f t="shared" si="6"/>
        <v>9</v>
      </c>
      <c r="AK25" s="136"/>
      <c r="AL25" s="136">
        <f t="shared" si="7"/>
        <v>9</v>
      </c>
    </row>
    <row r="26" spans="1:38" ht="13">
      <c r="A26" s="22" t="s">
        <v>18</v>
      </c>
      <c r="B26" s="109">
        <f>'Resid Cust Fcst '!H27</f>
        <v>0</v>
      </c>
      <c r="C26" s="23">
        <f>'Resid Cust Fcst '!O27</f>
        <v>0</v>
      </c>
      <c r="D26" s="23">
        <f>'Resid Cust Fcst '!V27</f>
        <v>0</v>
      </c>
      <c r="E26" s="23">
        <f>'Resid Cust Fcst '!AC27</f>
        <v>0</v>
      </c>
      <c r="F26" s="23">
        <f>'Resid Cust Fcst '!AJ27</f>
        <v>0</v>
      </c>
      <c r="G26" s="23">
        <f>'Resid Cust Fcst '!AQ27</f>
        <v>0</v>
      </c>
      <c r="H26" s="23">
        <f>'Resid Cust Fcst '!AX27</f>
        <v>0</v>
      </c>
      <c r="I26" s="23">
        <f>'Resid Cust Fcst '!BE27</f>
        <v>0</v>
      </c>
      <c r="J26" s="23">
        <f>'Resid Cust Fcst '!BL27</f>
        <v>0</v>
      </c>
      <c r="K26" s="23">
        <f>'Resid Cust Fcst '!BS27</f>
        <v>0</v>
      </c>
      <c r="L26" s="41">
        <f t="shared" si="0"/>
        <v>0</v>
      </c>
      <c r="M26" s="23">
        <f>'Sm Comm Cust Fcst'!F27</f>
        <v>0</v>
      </c>
      <c r="N26" s="23">
        <f>'Sm Comm Cust Fcst'!G27</f>
        <v>0</v>
      </c>
      <c r="O26" s="23">
        <f>'Sm Comm Cust Fcst'!M27</f>
        <v>0</v>
      </c>
      <c r="P26" s="23">
        <f>'Sm Comm Cust Fcst'!T27</f>
        <v>0</v>
      </c>
      <c r="Q26" s="23">
        <f>'Sm Comm Cust Fcst'!AA27</f>
        <v>0</v>
      </c>
      <c r="R26" s="41">
        <f t="shared" si="1"/>
        <v>0</v>
      </c>
      <c r="S26" s="23">
        <f>'Sch AL-TOU Cust Fcst'!F25</f>
        <v>1</v>
      </c>
      <c r="T26" s="23">
        <f>'Sch AL-TOU Cust Fcst'!G25</f>
        <v>1</v>
      </c>
      <c r="U26" s="23">
        <f>'Sch AL-TOU Cust Fcst'!H25</f>
        <v>0</v>
      </c>
      <c r="V26" s="23">
        <f>'Sch DG-R Cust Fcst'!F25</f>
        <v>0</v>
      </c>
      <c r="W26" s="23">
        <f>'Sch DG-R Cust Fcst'!G25</f>
        <v>0</v>
      </c>
      <c r="X26" s="23">
        <f>'Sch A6-TOU Cust Fcst '!B25</f>
        <v>0</v>
      </c>
      <c r="Y26" s="23">
        <f>'Sch A6-TOU Cust Fcst '!C25</f>
        <v>0</v>
      </c>
      <c r="Z26" s="23">
        <f>'Sch OL-TOU Cust Fcst'!F25</f>
        <v>0</v>
      </c>
      <c r="AA26" s="41">
        <f t="shared" si="2"/>
        <v>2</v>
      </c>
      <c r="AB26" s="23"/>
      <c r="AC26" s="23"/>
      <c r="AD26" s="23">
        <f>'Sch TOU-PA Cust Fcst'!F25</f>
        <v>0</v>
      </c>
      <c r="AE26" s="23">
        <f>'Sch TOU-PA Cust Fcst'!G25</f>
        <v>0</v>
      </c>
      <c r="AF26" s="41">
        <f t="shared" si="3"/>
        <v>0</v>
      </c>
      <c r="AG26" s="109"/>
      <c r="AH26" s="109">
        <f t="shared" si="4"/>
        <v>1</v>
      </c>
      <c r="AI26" s="23">
        <f t="shared" si="5"/>
        <v>1</v>
      </c>
      <c r="AJ26" s="23">
        <f t="shared" si="6"/>
        <v>2</v>
      </c>
      <c r="AK26" s="136"/>
      <c r="AL26" s="136">
        <f t="shared" si="7"/>
        <v>2</v>
      </c>
    </row>
    <row r="27" spans="1:38" ht="13">
      <c r="A27" s="22" t="s">
        <v>19</v>
      </c>
      <c r="B27" s="109">
        <f>'Resid Cust Fcst '!H28</f>
        <v>0</v>
      </c>
      <c r="C27" s="23">
        <f>'Resid Cust Fcst '!O28</f>
        <v>0</v>
      </c>
      <c r="D27" s="23">
        <f>'Resid Cust Fcst '!V28</f>
        <v>0</v>
      </c>
      <c r="E27" s="23">
        <f>'Resid Cust Fcst '!AC28</f>
        <v>0</v>
      </c>
      <c r="F27" s="23">
        <f>'Resid Cust Fcst '!AJ28</f>
        <v>0</v>
      </c>
      <c r="G27" s="23">
        <f>'Resid Cust Fcst '!AQ28</f>
        <v>0</v>
      </c>
      <c r="H27" s="23">
        <f>'Resid Cust Fcst '!AX28</f>
        <v>0</v>
      </c>
      <c r="I27" s="23">
        <f>'Resid Cust Fcst '!BE28</f>
        <v>0</v>
      </c>
      <c r="J27" s="23">
        <f>'Resid Cust Fcst '!BL28</f>
        <v>0</v>
      </c>
      <c r="K27" s="23">
        <f>'Resid Cust Fcst '!BS28</f>
        <v>0</v>
      </c>
      <c r="L27" s="41">
        <f t="shared" si="0"/>
        <v>0</v>
      </c>
      <c r="M27" s="23">
        <f>'Sm Comm Cust Fcst'!F28</f>
        <v>0</v>
      </c>
      <c r="N27" s="23">
        <f>'Sm Comm Cust Fcst'!G28</f>
        <v>0</v>
      </c>
      <c r="O27" s="23">
        <f>'Sm Comm Cust Fcst'!M28</f>
        <v>0</v>
      </c>
      <c r="P27" s="23">
        <f>'Sm Comm Cust Fcst'!T28</f>
        <v>0</v>
      </c>
      <c r="Q27" s="23">
        <f>'Sm Comm Cust Fcst'!AA28</f>
        <v>0</v>
      </c>
      <c r="R27" s="41">
        <f t="shared" si="1"/>
        <v>0</v>
      </c>
      <c r="S27" s="23">
        <f>'Sch AL-TOU Cust Fcst'!F26</f>
        <v>0</v>
      </c>
      <c r="T27" s="23">
        <f>'Sch AL-TOU Cust Fcst'!G26</f>
        <v>1</v>
      </c>
      <c r="U27" s="23">
        <f>'Sch AL-TOU Cust Fcst'!H26</f>
        <v>0</v>
      </c>
      <c r="V27" s="23">
        <f>'Sch DG-R Cust Fcst'!F26</f>
        <v>0</v>
      </c>
      <c r="W27" s="23">
        <f>'Sch DG-R Cust Fcst'!G26</f>
        <v>0</v>
      </c>
      <c r="X27" s="23">
        <f>'Sch A6-TOU Cust Fcst '!B26</f>
        <v>0</v>
      </c>
      <c r="Y27" s="23">
        <f>'Sch A6-TOU Cust Fcst '!C26</f>
        <v>0</v>
      </c>
      <c r="Z27" s="23">
        <f>'Sch OL-TOU Cust Fcst'!F26</f>
        <v>0</v>
      </c>
      <c r="AA27" s="41">
        <f t="shared" si="2"/>
        <v>1</v>
      </c>
      <c r="AB27" s="23"/>
      <c r="AC27" s="23"/>
      <c r="AD27" s="23">
        <f>'Sch TOU-PA Cust Fcst'!F26</f>
        <v>0</v>
      </c>
      <c r="AE27" s="23">
        <f>'Sch TOU-PA Cust Fcst'!G26</f>
        <v>0</v>
      </c>
      <c r="AF27" s="41">
        <f t="shared" si="3"/>
        <v>0</v>
      </c>
      <c r="AG27" s="109"/>
      <c r="AH27" s="109">
        <f t="shared" si="4"/>
        <v>0</v>
      </c>
      <c r="AI27" s="23">
        <f t="shared" si="5"/>
        <v>1</v>
      </c>
      <c r="AJ27" s="23">
        <f t="shared" si="6"/>
        <v>1</v>
      </c>
      <c r="AK27" s="136"/>
      <c r="AL27" s="136">
        <f t="shared" si="7"/>
        <v>1</v>
      </c>
    </row>
    <row r="28" spans="1:38" ht="13">
      <c r="A28" s="22" t="s">
        <v>20</v>
      </c>
      <c r="B28" s="109">
        <f>'Resid Cust Fcst '!H29</f>
        <v>0</v>
      </c>
      <c r="C28" s="23">
        <f>'Resid Cust Fcst '!O29</f>
        <v>0</v>
      </c>
      <c r="D28" s="23">
        <f>'Resid Cust Fcst '!V29</f>
        <v>0</v>
      </c>
      <c r="E28" s="23">
        <f>'Resid Cust Fcst '!AC29</f>
        <v>0</v>
      </c>
      <c r="F28" s="23">
        <f>'Resid Cust Fcst '!AJ29</f>
        <v>0</v>
      </c>
      <c r="G28" s="23">
        <f>'Resid Cust Fcst '!AQ29</f>
        <v>0</v>
      </c>
      <c r="H28" s="23">
        <f>'Resid Cust Fcst '!AX29</f>
        <v>0</v>
      </c>
      <c r="I28" s="23">
        <f>'Resid Cust Fcst '!BE29</f>
        <v>0</v>
      </c>
      <c r="J28" s="23">
        <f>'Resid Cust Fcst '!BL29</f>
        <v>0</v>
      </c>
      <c r="K28" s="23">
        <f>'Resid Cust Fcst '!BS29</f>
        <v>0</v>
      </c>
      <c r="L28" s="41">
        <f t="shared" si="0"/>
        <v>0</v>
      </c>
      <c r="M28" s="23">
        <f>'Sm Comm Cust Fcst'!F29</f>
        <v>0</v>
      </c>
      <c r="N28" s="23">
        <f>'Sm Comm Cust Fcst'!G29</f>
        <v>0</v>
      </c>
      <c r="O28" s="23">
        <f>'Sm Comm Cust Fcst'!M29</f>
        <v>0</v>
      </c>
      <c r="P28" s="23">
        <f>'Sm Comm Cust Fcst'!T29</f>
        <v>0</v>
      </c>
      <c r="Q28" s="23">
        <f>'Sm Comm Cust Fcst'!AA29</f>
        <v>0</v>
      </c>
      <c r="R28" s="41">
        <f t="shared" si="1"/>
        <v>0</v>
      </c>
      <c r="S28" s="23">
        <f>'Sch AL-TOU Cust Fcst'!F27</f>
        <v>0</v>
      </c>
      <c r="T28" s="23">
        <f>'Sch AL-TOU Cust Fcst'!G27</f>
        <v>0</v>
      </c>
      <c r="U28" s="23">
        <f>'Sch AL-TOU Cust Fcst'!H27</f>
        <v>0</v>
      </c>
      <c r="V28" s="23">
        <f>'Sch DG-R Cust Fcst'!F27</f>
        <v>0</v>
      </c>
      <c r="W28" s="23">
        <f>'Sch DG-R Cust Fcst'!G27</f>
        <v>0</v>
      </c>
      <c r="X28" s="23">
        <f>'Sch A6-TOU Cust Fcst '!B27</f>
        <v>0</v>
      </c>
      <c r="Y28" s="23">
        <f>'Sch A6-TOU Cust Fcst '!C27</f>
        <v>0</v>
      </c>
      <c r="Z28" s="23">
        <f>'Sch OL-TOU Cust Fcst'!F27</f>
        <v>0</v>
      </c>
      <c r="AA28" s="41">
        <f t="shared" si="2"/>
        <v>0</v>
      </c>
      <c r="AB28" s="23"/>
      <c r="AC28" s="23"/>
      <c r="AD28" s="23">
        <f>'Sch TOU-PA Cust Fcst'!F27</f>
        <v>0</v>
      </c>
      <c r="AE28" s="23">
        <f>'Sch TOU-PA Cust Fcst'!G27</f>
        <v>0</v>
      </c>
      <c r="AF28" s="41">
        <f t="shared" si="3"/>
        <v>0</v>
      </c>
      <c r="AG28" s="109"/>
      <c r="AH28" s="109">
        <f t="shared" si="4"/>
        <v>0</v>
      </c>
      <c r="AI28" s="23">
        <f t="shared" si="5"/>
        <v>0</v>
      </c>
      <c r="AJ28" s="23">
        <f t="shared" si="6"/>
        <v>0</v>
      </c>
      <c r="AK28" s="136"/>
      <c r="AL28" s="136">
        <f t="shared" si="7"/>
        <v>0</v>
      </c>
    </row>
    <row r="29" spans="1:38" ht="13">
      <c r="A29" s="22" t="s">
        <v>21</v>
      </c>
      <c r="B29" s="109">
        <f>'Resid Cust Fcst '!H30</f>
        <v>0</v>
      </c>
      <c r="C29" s="23">
        <f>'Resid Cust Fcst '!O30</f>
        <v>0</v>
      </c>
      <c r="D29" s="23">
        <f>'Resid Cust Fcst '!V30</f>
        <v>0</v>
      </c>
      <c r="E29" s="23">
        <f>'Resid Cust Fcst '!AC30</f>
        <v>0</v>
      </c>
      <c r="F29" s="23">
        <f>'Resid Cust Fcst '!AJ30</f>
        <v>0</v>
      </c>
      <c r="G29" s="23">
        <f>'Resid Cust Fcst '!AQ30</f>
        <v>0</v>
      </c>
      <c r="H29" s="23">
        <f>'Resid Cust Fcst '!AX30</f>
        <v>0</v>
      </c>
      <c r="I29" s="23">
        <f>'Resid Cust Fcst '!BE30</f>
        <v>0</v>
      </c>
      <c r="J29" s="23">
        <f>'Resid Cust Fcst '!BL30</f>
        <v>0</v>
      </c>
      <c r="K29" s="23">
        <f>'Resid Cust Fcst '!BS30</f>
        <v>0</v>
      </c>
      <c r="L29" s="41">
        <f t="shared" si="0"/>
        <v>0</v>
      </c>
      <c r="M29" s="23">
        <f>'Sm Comm Cust Fcst'!F30</f>
        <v>0</v>
      </c>
      <c r="N29" s="23">
        <f>'Sm Comm Cust Fcst'!G30</f>
        <v>0</v>
      </c>
      <c r="O29" s="23">
        <f>'Sm Comm Cust Fcst'!M30</f>
        <v>0</v>
      </c>
      <c r="P29" s="23">
        <f>'Sm Comm Cust Fcst'!T30</f>
        <v>0</v>
      </c>
      <c r="Q29" s="23">
        <f>'Sm Comm Cust Fcst'!AA30</f>
        <v>0</v>
      </c>
      <c r="R29" s="41">
        <f t="shared" si="1"/>
        <v>0</v>
      </c>
      <c r="S29" s="23">
        <f>'Sch AL-TOU Cust Fcst'!F28</f>
        <v>0</v>
      </c>
      <c r="T29" s="23">
        <f>'Sch AL-TOU Cust Fcst'!G28</f>
        <v>0</v>
      </c>
      <c r="U29" s="23">
        <f>'Sch AL-TOU Cust Fcst'!H28</f>
        <v>0</v>
      </c>
      <c r="V29" s="23">
        <f>'Sch DG-R Cust Fcst'!F28</f>
        <v>0</v>
      </c>
      <c r="W29" s="23">
        <f>'Sch DG-R Cust Fcst'!G28</f>
        <v>0</v>
      </c>
      <c r="X29" s="23">
        <f>'Sch A6-TOU Cust Fcst '!B28</f>
        <v>0</v>
      </c>
      <c r="Y29" s="23">
        <f>'Sch A6-TOU Cust Fcst '!C28</f>
        <v>0</v>
      </c>
      <c r="Z29" s="23">
        <f>'Sch OL-TOU Cust Fcst'!F28</f>
        <v>0</v>
      </c>
      <c r="AA29" s="41">
        <f t="shared" si="2"/>
        <v>0</v>
      </c>
      <c r="AB29" s="23"/>
      <c r="AC29" s="23"/>
      <c r="AD29" s="23">
        <f>'Sch TOU-PA Cust Fcst'!F28</f>
        <v>0</v>
      </c>
      <c r="AE29" s="23">
        <f>'Sch TOU-PA Cust Fcst'!G28</f>
        <v>0</v>
      </c>
      <c r="AF29" s="41">
        <f t="shared" si="3"/>
        <v>0</v>
      </c>
      <c r="AG29" s="109"/>
      <c r="AH29" s="109">
        <f t="shared" si="4"/>
        <v>0</v>
      </c>
      <c r="AI29" s="23">
        <f t="shared" si="5"/>
        <v>0</v>
      </c>
      <c r="AJ29" s="23">
        <f t="shared" si="6"/>
        <v>0</v>
      </c>
      <c r="AK29" s="136"/>
      <c r="AL29" s="136">
        <f t="shared" si="7"/>
        <v>0</v>
      </c>
    </row>
    <row r="30" spans="1:38" ht="13">
      <c r="A30" s="22" t="s">
        <v>22</v>
      </c>
      <c r="B30" s="109">
        <f>'Resid Cust Fcst '!H31</f>
        <v>0</v>
      </c>
      <c r="C30" s="23">
        <f>'Resid Cust Fcst '!O31</f>
        <v>0</v>
      </c>
      <c r="D30" s="23">
        <f>'Resid Cust Fcst '!V31</f>
        <v>0</v>
      </c>
      <c r="E30" s="23">
        <f>'Resid Cust Fcst '!AC31</f>
        <v>0</v>
      </c>
      <c r="F30" s="23">
        <f>'Resid Cust Fcst '!AJ31</f>
        <v>0</v>
      </c>
      <c r="G30" s="23">
        <f>'Resid Cust Fcst '!AQ31</f>
        <v>0</v>
      </c>
      <c r="H30" s="23">
        <f>'Resid Cust Fcst '!AX31</f>
        <v>0</v>
      </c>
      <c r="I30" s="23">
        <f>'Resid Cust Fcst '!BE31</f>
        <v>0</v>
      </c>
      <c r="J30" s="23">
        <f>'Resid Cust Fcst '!BL31</f>
        <v>0</v>
      </c>
      <c r="K30" s="23">
        <f>'Resid Cust Fcst '!BS31</f>
        <v>0</v>
      </c>
      <c r="L30" s="41">
        <f t="shared" si="0"/>
        <v>0</v>
      </c>
      <c r="M30" s="23">
        <f>'Sm Comm Cust Fcst'!F31</f>
        <v>0</v>
      </c>
      <c r="N30" s="23">
        <f>'Sm Comm Cust Fcst'!G31</f>
        <v>0</v>
      </c>
      <c r="O30" s="23">
        <f>'Sm Comm Cust Fcst'!M31</f>
        <v>0</v>
      </c>
      <c r="P30" s="23">
        <f>'Sm Comm Cust Fcst'!T31</f>
        <v>0</v>
      </c>
      <c r="Q30" s="23">
        <f>'Sm Comm Cust Fcst'!AA31</f>
        <v>0</v>
      </c>
      <c r="R30" s="41">
        <f t="shared" si="1"/>
        <v>0</v>
      </c>
      <c r="S30" s="23">
        <f>'Sch AL-TOU Cust Fcst'!F29</f>
        <v>0</v>
      </c>
      <c r="T30" s="23">
        <f>'Sch AL-TOU Cust Fcst'!G29</f>
        <v>0</v>
      </c>
      <c r="U30" s="23">
        <f>'Sch AL-TOU Cust Fcst'!H29</f>
        <v>0</v>
      </c>
      <c r="V30" s="23">
        <f>'Sch DG-R Cust Fcst'!F29</f>
        <v>0</v>
      </c>
      <c r="W30" s="23">
        <f>'Sch DG-R Cust Fcst'!G29</f>
        <v>0</v>
      </c>
      <c r="X30" s="23">
        <f>'Sch A6-TOU Cust Fcst '!B29</f>
        <v>0</v>
      </c>
      <c r="Y30" s="23">
        <f>'Sch A6-TOU Cust Fcst '!C29</f>
        <v>0</v>
      </c>
      <c r="Z30" s="23">
        <f>'Sch OL-TOU Cust Fcst'!F29</f>
        <v>0</v>
      </c>
      <c r="AA30" s="41">
        <f t="shared" si="2"/>
        <v>0</v>
      </c>
      <c r="AB30" s="23"/>
      <c r="AC30" s="23"/>
      <c r="AD30" s="23">
        <f>'Sch TOU-PA Cust Fcst'!F29</f>
        <v>0</v>
      </c>
      <c r="AE30" s="23">
        <f>'Sch TOU-PA Cust Fcst'!G29</f>
        <v>0</v>
      </c>
      <c r="AF30" s="41">
        <f t="shared" si="3"/>
        <v>0</v>
      </c>
      <c r="AG30" s="109"/>
      <c r="AH30" s="109">
        <f t="shared" si="4"/>
        <v>0</v>
      </c>
      <c r="AI30" s="23">
        <f t="shared" si="5"/>
        <v>0</v>
      </c>
      <c r="AJ30" s="23">
        <f t="shared" si="6"/>
        <v>0</v>
      </c>
      <c r="AK30" s="136"/>
      <c r="AL30" s="136">
        <f t="shared" si="7"/>
        <v>0</v>
      </c>
    </row>
    <row r="31" spans="1:38" ht="13">
      <c r="A31" s="22" t="s">
        <v>23</v>
      </c>
      <c r="B31" s="109">
        <f>'Resid Cust Fcst '!H32</f>
        <v>0</v>
      </c>
      <c r="C31" s="23">
        <f>'Resid Cust Fcst '!O32</f>
        <v>0</v>
      </c>
      <c r="D31" s="23">
        <f>'Resid Cust Fcst '!V32</f>
        <v>0</v>
      </c>
      <c r="E31" s="23">
        <f>'Resid Cust Fcst '!AC32</f>
        <v>0</v>
      </c>
      <c r="F31" s="23">
        <f>'Resid Cust Fcst '!AJ32</f>
        <v>0</v>
      </c>
      <c r="G31" s="23">
        <f>'Resid Cust Fcst '!AQ32</f>
        <v>0</v>
      </c>
      <c r="H31" s="23">
        <f>'Resid Cust Fcst '!AX32</f>
        <v>0</v>
      </c>
      <c r="I31" s="23">
        <f>'Resid Cust Fcst '!BE32</f>
        <v>0</v>
      </c>
      <c r="J31" s="23">
        <f>'Resid Cust Fcst '!BL32</f>
        <v>0</v>
      </c>
      <c r="K31" s="23">
        <f>'Resid Cust Fcst '!BS32</f>
        <v>0</v>
      </c>
      <c r="L31" s="41">
        <f t="shared" si="0"/>
        <v>0</v>
      </c>
      <c r="M31" s="23">
        <f>'Sm Comm Cust Fcst'!F32</f>
        <v>0</v>
      </c>
      <c r="N31" s="23">
        <f>'Sm Comm Cust Fcst'!G32</f>
        <v>0</v>
      </c>
      <c r="O31" s="23">
        <f>'Sm Comm Cust Fcst'!M32</f>
        <v>0</v>
      </c>
      <c r="P31" s="23">
        <f>'Sm Comm Cust Fcst'!T32</f>
        <v>0</v>
      </c>
      <c r="Q31" s="23">
        <f>'Sm Comm Cust Fcst'!AA32</f>
        <v>0</v>
      </c>
      <c r="R31" s="41">
        <f t="shared" si="1"/>
        <v>0</v>
      </c>
      <c r="S31" s="23">
        <f>'Sch AL-TOU Cust Fcst'!F30</f>
        <v>0</v>
      </c>
      <c r="T31" s="23">
        <f>'Sch AL-TOU Cust Fcst'!G30</f>
        <v>0</v>
      </c>
      <c r="U31" s="23">
        <f>'Sch AL-TOU Cust Fcst'!H30</f>
        <v>0</v>
      </c>
      <c r="V31" s="23">
        <f>'Sch DG-R Cust Fcst'!F30</f>
        <v>0</v>
      </c>
      <c r="W31" s="23">
        <f>'Sch DG-R Cust Fcst'!G30</f>
        <v>0</v>
      </c>
      <c r="X31" s="23">
        <f>'Sch A6-TOU Cust Fcst '!B30</f>
        <v>0</v>
      </c>
      <c r="Y31" s="23">
        <f>'Sch A6-TOU Cust Fcst '!C30</f>
        <v>0</v>
      </c>
      <c r="Z31" s="23">
        <f>'Sch OL-TOU Cust Fcst'!F30</f>
        <v>0</v>
      </c>
      <c r="AA31" s="41">
        <f t="shared" si="2"/>
        <v>0</v>
      </c>
      <c r="AB31" s="23"/>
      <c r="AC31" s="23"/>
      <c r="AD31" s="23">
        <f>'Sch TOU-PA Cust Fcst'!F30</f>
        <v>0</v>
      </c>
      <c r="AE31" s="23">
        <f>'Sch TOU-PA Cust Fcst'!G30</f>
        <v>0</v>
      </c>
      <c r="AF31" s="41">
        <f t="shared" si="3"/>
        <v>0</v>
      </c>
      <c r="AG31" s="109"/>
      <c r="AH31" s="109">
        <f t="shared" si="4"/>
        <v>0</v>
      </c>
      <c r="AI31" s="23">
        <f t="shared" si="5"/>
        <v>0</v>
      </c>
      <c r="AJ31" s="23">
        <f t="shared" si="6"/>
        <v>0</v>
      </c>
      <c r="AK31" s="136"/>
      <c r="AL31" s="136">
        <f t="shared" si="7"/>
        <v>0</v>
      </c>
    </row>
    <row r="32" spans="1:38" ht="13">
      <c r="A32" s="22" t="s">
        <v>24</v>
      </c>
      <c r="B32" s="109">
        <f>'Resid Cust Fcst '!H33</f>
        <v>0</v>
      </c>
      <c r="C32" s="23">
        <f>'Resid Cust Fcst '!O33</f>
        <v>0</v>
      </c>
      <c r="D32" s="23">
        <f>'Resid Cust Fcst '!V33</f>
        <v>0</v>
      </c>
      <c r="E32" s="23">
        <f>'Resid Cust Fcst '!AC33</f>
        <v>0</v>
      </c>
      <c r="F32" s="23">
        <f>'Resid Cust Fcst '!AJ33</f>
        <v>0</v>
      </c>
      <c r="G32" s="23">
        <f>'Resid Cust Fcst '!AQ33</f>
        <v>0</v>
      </c>
      <c r="H32" s="23">
        <f>'Resid Cust Fcst '!AX33</f>
        <v>0</v>
      </c>
      <c r="I32" s="23">
        <f>'Resid Cust Fcst '!BE33</f>
        <v>0</v>
      </c>
      <c r="J32" s="23">
        <f>'Resid Cust Fcst '!BL33</f>
        <v>0</v>
      </c>
      <c r="K32" s="23">
        <f>'Resid Cust Fcst '!BS33</f>
        <v>0</v>
      </c>
      <c r="L32" s="41">
        <f t="shared" si="0"/>
        <v>0</v>
      </c>
      <c r="M32" s="23">
        <f>'Sm Comm Cust Fcst'!F33</f>
        <v>0</v>
      </c>
      <c r="N32" s="23">
        <f>'Sm Comm Cust Fcst'!G33</f>
        <v>0</v>
      </c>
      <c r="O32" s="23">
        <f>'Sm Comm Cust Fcst'!M33</f>
        <v>0</v>
      </c>
      <c r="P32" s="23">
        <f>'Sm Comm Cust Fcst'!T33</f>
        <v>0</v>
      </c>
      <c r="Q32" s="23">
        <f>'Sm Comm Cust Fcst'!AA33</f>
        <v>0</v>
      </c>
      <c r="R32" s="41">
        <f t="shared" si="1"/>
        <v>0</v>
      </c>
      <c r="S32" s="23">
        <f>'Sch AL-TOU Cust Fcst'!F31</f>
        <v>0</v>
      </c>
      <c r="T32" s="23">
        <f>'Sch AL-TOU Cust Fcst'!G31</f>
        <v>0</v>
      </c>
      <c r="U32" s="23">
        <f>'Sch AL-TOU Cust Fcst'!H31</f>
        <v>0</v>
      </c>
      <c r="V32" s="23">
        <f>'Sch DG-R Cust Fcst'!F31</f>
        <v>0</v>
      </c>
      <c r="W32" s="23">
        <f>'Sch DG-R Cust Fcst'!G31</f>
        <v>0</v>
      </c>
      <c r="X32" s="23">
        <f>'Sch A6-TOU Cust Fcst '!B31</f>
        <v>0</v>
      </c>
      <c r="Y32" s="23">
        <f>'Sch A6-TOU Cust Fcst '!C31</f>
        <v>0</v>
      </c>
      <c r="Z32" s="23">
        <f>'Sch OL-TOU Cust Fcst'!F31</f>
        <v>0</v>
      </c>
      <c r="AA32" s="41">
        <f t="shared" si="2"/>
        <v>0</v>
      </c>
      <c r="AB32" s="23"/>
      <c r="AC32" s="23"/>
      <c r="AD32" s="23">
        <f>'Sch TOU-PA Cust Fcst'!F31</f>
        <v>0</v>
      </c>
      <c r="AE32" s="23">
        <f>'Sch TOU-PA Cust Fcst'!G31</f>
        <v>0</v>
      </c>
      <c r="AF32" s="41">
        <f t="shared" si="3"/>
        <v>0</v>
      </c>
      <c r="AG32" s="109"/>
      <c r="AH32" s="109">
        <f t="shared" si="4"/>
        <v>0</v>
      </c>
      <c r="AI32" s="23">
        <f t="shared" si="5"/>
        <v>0</v>
      </c>
      <c r="AJ32" s="23">
        <f t="shared" si="6"/>
        <v>0</v>
      </c>
      <c r="AK32" s="136"/>
      <c r="AL32" s="136">
        <f t="shared" si="7"/>
        <v>0</v>
      </c>
    </row>
    <row r="33" spans="1:38" ht="13">
      <c r="A33" s="21" t="s">
        <v>25</v>
      </c>
      <c r="B33" s="109">
        <f>'Resid Cust Fcst '!H34</f>
        <v>0</v>
      </c>
      <c r="C33" s="23">
        <f>'Resid Cust Fcst '!O34</f>
        <v>0</v>
      </c>
      <c r="D33" s="23">
        <f>'Resid Cust Fcst '!V34</f>
        <v>0</v>
      </c>
      <c r="E33" s="23">
        <f>'Resid Cust Fcst '!AC34</f>
        <v>0</v>
      </c>
      <c r="F33" s="23">
        <f>'Resid Cust Fcst '!AJ34</f>
        <v>0</v>
      </c>
      <c r="G33" s="23">
        <f>'Resid Cust Fcst '!AQ34</f>
        <v>0</v>
      </c>
      <c r="H33" s="23">
        <f>'Resid Cust Fcst '!AX34</f>
        <v>0</v>
      </c>
      <c r="I33" s="23">
        <f>'Resid Cust Fcst '!BE34</f>
        <v>0</v>
      </c>
      <c r="J33" s="23">
        <f>'Resid Cust Fcst '!BL34</f>
        <v>0</v>
      </c>
      <c r="K33" s="23">
        <f>'Resid Cust Fcst '!BS34</f>
        <v>0</v>
      </c>
      <c r="L33" s="41">
        <f t="shared" si="0"/>
        <v>0</v>
      </c>
      <c r="M33" s="23">
        <f>'Sm Comm Cust Fcst'!F34</f>
        <v>0</v>
      </c>
      <c r="N33" s="23">
        <f>'Sm Comm Cust Fcst'!G34</f>
        <v>0</v>
      </c>
      <c r="O33" s="23">
        <f>'Sm Comm Cust Fcst'!M34</f>
        <v>0</v>
      </c>
      <c r="P33" s="23">
        <f>'Sm Comm Cust Fcst'!T34</f>
        <v>0</v>
      </c>
      <c r="Q33" s="23">
        <f>'Sm Comm Cust Fcst'!AA34</f>
        <v>0</v>
      </c>
      <c r="R33" s="41">
        <f t="shared" si="1"/>
        <v>0</v>
      </c>
      <c r="S33" s="23">
        <f>'Sch AL-TOU Cust Fcst'!F32</f>
        <v>0</v>
      </c>
      <c r="T33" s="23">
        <f>'Sch AL-TOU Cust Fcst'!G32</f>
        <v>0</v>
      </c>
      <c r="U33" s="23">
        <f>'Sch AL-TOU Cust Fcst'!H32</f>
        <v>0</v>
      </c>
      <c r="V33" s="23">
        <f>'Sch DG-R Cust Fcst'!F32</f>
        <v>0</v>
      </c>
      <c r="W33" s="23">
        <f>'Sch DG-R Cust Fcst'!G32</f>
        <v>0</v>
      </c>
      <c r="X33" s="23">
        <f>'Sch A6-TOU Cust Fcst '!B32</f>
        <v>0</v>
      </c>
      <c r="Y33" s="23">
        <f>'Sch A6-TOU Cust Fcst '!C32</f>
        <v>0</v>
      </c>
      <c r="Z33" s="23">
        <f>'Sch OL-TOU Cust Fcst'!F32</f>
        <v>0</v>
      </c>
      <c r="AA33" s="41">
        <f t="shared" si="2"/>
        <v>0</v>
      </c>
      <c r="AB33" s="23"/>
      <c r="AC33" s="23"/>
      <c r="AD33" s="23">
        <f>'Sch TOU-PA Cust Fcst'!F32</f>
        <v>0</v>
      </c>
      <c r="AE33" s="23">
        <f>'Sch TOU-PA Cust Fcst'!G32</f>
        <v>0</v>
      </c>
      <c r="AF33" s="41">
        <f t="shared" si="3"/>
        <v>0</v>
      </c>
      <c r="AG33" s="109"/>
      <c r="AH33" s="109">
        <f t="shared" si="4"/>
        <v>0</v>
      </c>
      <c r="AI33" s="23">
        <f t="shared" si="5"/>
        <v>0</v>
      </c>
      <c r="AJ33" s="23">
        <f t="shared" si="6"/>
        <v>0</v>
      </c>
      <c r="AK33" s="136"/>
      <c r="AL33" s="136">
        <f t="shared" si="7"/>
        <v>0</v>
      </c>
    </row>
    <row r="34" spans="1:38" ht="13">
      <c r="A34" s="21" t="s">
        <v>106</v>
      </c>
      <c r="B34" s="109">
        <f>'Resid Cust Fcst '!H35</f>
        <v>0</v>
      </c>
      <c r="C34" s="23">
        <f>'Resid Cust Fcst '!O35</f>
        <v>0</v>
      </c>
      <c r="D34" s="23">
        <f>'Resid Cust Fcst '!V35</f>
        <v>0</v>
      </c>
      <c r="E34" s="23">
        <f>'Resid Cust Fcst '!AC35</f>
        <v>0</v>
      </c>
      <c r="F34" s="23">
        <f>'Resid Cust Fcst '!AJ35</f>
        <v>0</v>
      </c>
      <c r="G34" s="23">
        <f>'Resid Cust Fcst '!AQ35</f>
        <v>0</v>
      </c>
      <c r="H34" s="23">
        <f>'Resid Cust Fcst '!AX35</f>
        <v>0</v>
      </c>
      <c r="I34" s="23">
        <f>'Resid Cust Fcst '!BE35</f>
        <v>0</v>
      </c>
      <c r="J34" s="23">
        <f>'Resid Cust Fcst '!BL35</f>
        <v>0</v>
      </c>
      <c r="K34" s="23">
        <f>'Resid Cust Fcst '!BS35</f>
        <v>0</v>
      </c>
      <c r="L34" s="41">
        <f t="shared" si="0"/>
        <v>0</v>
      </c>
      <c r="M34" s="23">
        <f>'Sm Comm Cust Fcst'!F35</f>
        <v>0</v>
      </c>
      <c r="N34" s="23">
        <f>'Sm Comm Cust Fcst'!G35</f>
        <v>0</v>
      </c>
      <c r="O34" s="23">
        <f>'Sm Comm Cust Fcst'!M35</f>
        <v>0</v>
      </c>
      <c r="P34" s="23">
        <f>'Sm Comm Cust Fcst'!T35</f>
        <v>0</v>
      </c>
      <c r="Q34" s="23">
        <f>'Sm Comm Cust Fcst'!AA35</f>
        <v>0</v>
      </c>
      <c r="R34" s="41">
        <f t="shared" si="1"/>
        <v>0</v>
      </c>
      <c r="S34" s="23">
        <f>'Sch AL-TOU Cust Fcst'!F33</f>
        <v>0</v>
      </c>
      <c r="T34" s="23">
        <f>'Sch AL-TOU Cust Fcst'!G33</f>
        <v>0</v>
      </c>
      <c r="U34" s="23">
        <f>'Sch AL-TOU Cust Fcst'!H33</f>
        <v>0</v>
      </c>
      <c r="V34" s="23">
        <f>'Sch DG-R Cust Fcst'!F33</f>
        <v>0</v>
      </c>
      <c r="W34" s="23">
        <f>'Sch DG-R Cust Fcst'!G33</f>
        <v>0</v>
      </c>
      <c r="X34" s="23">
        <f>'Sch A6-TOU Cust Fcst '!B33</f>
        <v>0</v>
      </c>
      <c r="Y34" s="23">
        <f>'Sch A6-TOU Cust Fcst '!C33</f>
        <v>0</v>
      </c>
      <c r="Z34" s="23">
        <f>'Sch OL-TOU Cust Fcst'!F33</f>
        <v>0</v>
      </c>
      <c r="AA34" s="41">
        <f t="shared" si="2"/>
        <v>0</v>
      </c>
      <c r="AB34" s="23"/>
      <c r="AC34" s="23"/>
      <c r="AD34" s="23">
        <f>'Sch TOU-PA Cust Fcst'!F33</f>
        <v>0</v>
      </c>
      <c r="AE34" s="23">
        <f>'Sch TOU-PA Cust Fcst'!G33</f>
        <v>0</v>
      </c>
      <c r="AF34" s="41">
        <f t="shared" si="3"/>
        <v>0</v>
      </c>
      <c r="AG34" s="109"/>
      <c r="AH34" s="109">
        <f t="shared" si="4"/>
        <v>0</v>
      </c>
      <c r="AI34" s="23">
        <f t="shared" si="5"/>
        <v>0</v>
      </c>
      <c r="AJ34" s="23">
        <f t="shared" si="6"/>
        <v>0</v>
      </c>
      <c r="AK34" s="136"/>
      <c r="AL34" s="136">
        <f t="shared" si="7"/>
        <v>0</v>
      </c>
    </row>
    <row r="35" spans="1:38" ht="13">
      <c r="A35" s="21" t="s">
        <v>107</v>
      </c>
      <c r="B35" s="109">
        <f>'Resid Cust Fcst '!H36</f>
        <v>0</v>
      </c>
      <c r="C35" s="23">
        <f>'Resid Cust Fcst '!O36</f>
        <v>0</v>
      </c>
      <c r="D35" s="23">
        <f>'Resid Cust Fcst '!V36</f>
        <v>0</v>
      </c>
      <c r="E35" s="23">
        <f>'Resid Cust Fcst '!AC36</f>
        <v>0</v>
      </c>
      <c r="F35" s="23">
        <f>'Resid Cust Fcst '!AJ36</f>
        <v>0</v>
      </c>
      <c r="G35" s="23">
        <f>'Resid Cust Fcst '!AQ36</f>
        <v>0</v>
      </c>
      <c r="H35" s="23">
        <f>'Resid Cust Fcst '!AX36</f>
        <v>0</v>
      </c>
      <c r="I35" s="23">
        <f>'Resid Cust Fcst '!BE36</f>
        <v>0</v>
      </c>
      <c r="J35" s="23">
        <f>'Resid Cust Fcst '!BL36</f>
        <v>0</v>
      </c>
      <c r="K35" s="23">
        <f>'Resid Cust Fcst '!BS36</f>
        <v>0</v>
      </c>
      <c r="L35" s="41">
        <f t="shared" si="0"/>
        <v>0</v>
      </c>
      <c r="M35" s="23">
        <f>'Sm Comm Cust Fcst'!F36</f>
        <v>0</v>
      </c>
      <c r="N35" s="23">
        <f>'Sm Comm Cust Fcst'!G36</f>
        <v>0</v>
      </c>
      <c r="O35" s="23">
        <f>'Sm Comm Cust Fcst'!M36</f>
        <v>0</v>
      </c>
      <c r="P35" s="23">
        <f>'Sm Comm Cust Fcst'!T36</f>
        <v>0</v>
      </c>
      <c r="Q35" s="23">
        <f>'Sm Comm Cust Fcst'!AA36</f>
        <v>0</v>
      </c>
      <c r="R35" s="41">
        <f t="shared" si="1"/>
        <v>0</v>
      </c>
      <c r="S35" s="23">
        <f>'Sch AL-TOU Cust Fcst'!F34</f>
        <v>0</v>
      </c>
      <c r="T35" s="23">
        <f>'Sch AL-TOU Cust Fcst'!G34</f>
        <v>0</v>
      </c>
      <c r="U35" s="23">
        <f>'Sch AL-TOU Cust Fcst'!H34</f>
        <v>0</v>
      </c>
      <c r="V35" s="23">
        <f>'Sch DG-R Cust Fcst'!F34</f>
        <v>0</v>
      </c>
      <c r="W35" s="23">
        <f>'Sch DG-R Cust Fcst'!G34</f>
        <v>0</v>
      </c>
      <c r="X35" s="23">
        <f>'Sch A6-TOU Cust Fcst '!B34</f>
        <v>0</v>
      </c>
      <c r="Y35" s="23">
        <f>'Sch A6-TOU Cust Fcst '!C34</f>
        <v>0</v>
      </c>
      <c r="Z35" s="23">
        <f>'Sch OL-TOU Cust Fcst'!F34</f>
        <v>0</v>
      </c>
      <c r="AA35" s="41">
        <f t="shared" si="2"/>
        <v>0</v>
      </c>
      <c r="AB35" s="23"/>
      <c r="AC35" s="23"/>
      <c r="AD35" s="23">
        <f>'Sch TOU-PA Cust Fcst'!F34</f>
        <v>0</v>
      </c>
      <c r="AE35" s="23">
        <f>'Sch TOU-PA Cust Fcst'!G34</f>
        <v>0</v>
      </c>
      <c r="AF35" s="41">
        <f t="shared" si="3"/>
        <v>0</v>
      </c>
      <c r="AG35" s="109"/>
      <c r="AH35" s="109">
        <f t="shared" si="4"/>
        <v>0</v>
      </c>
      <c r="AI35" s="23">
        <f t="shared" si="5"/>
        <v>0</v>
      </c>
      <c r="AJ35" s="23">
        <f t="shared" si="6"/>
        <v>0</v>
      </c>
      <c r="AK35" s="136"/>
      <c r="AL35" s="136">
        <f t="shared" si="7"/>
        <v>0</v>
      </c>
    </row>
    <row r="36" spans="1:38" ht="13">
      <c r="A36" s="21" t="s">
        <v>26</v>
      </c>
      <c r="B36" s="109">
        <f>'Resid Cust Fcst '!H37</f>
        <v>0</v>
      </c>
      <c r="C36" s="23">
        <f>'Resid Cust Fcst '!O37</f>
        <v>0</v>
      </c>
      <c r="D36" s="23">
        <f>'Resid Cust Fcst '!V37</f>
        <v>0</v>
      </c>
      <c r="E36" s="23">
        <f>'Resid Cust Fcst '!AC37</f>
        <v>0</v>
      </c>
      <c r="F36" s="23">
        <f>'Resid Cust Fcst '!AJ37</f>
        <v>0</v>
      </c>
      <c r="G36" s="23">
        <f>'Resid Cust Fcst '!AQ37</f>
        <v>0</v>
      </c>
      <c r="H36" s="23">
        <f>'Resid Cust Fcst '!AX37</f>
        <v>0</v>
      </c>
      <c r="I36" s="23">
        <f>'Resid Cust Fcst '!BE37</f>
        <v>0</v>
      </c>
      <c r="J36" s="23">
        <f>'Resid Cust Fcst '!BL37</f>
        <v>0</v>
      </c>
      <c r="K36" s="23">
        <f>'Resid Cust Fcst '!BS37</f>
        <v>0</v>
      </c>
      <c r="L36" s="41">
        <f t="shared" si="0"/>
        <v>0</v>
      </c>
      <c r="M36" s="23">
        <f>'Sm Comm Cust Fcst'!F37</f>
        <v>0</v>
      </c>
      <c r="N36" s="23">
        <f>'Sm Comm Cust Fcst'!G37</f>
        <v>0</v>
      </c>
      <c r="O36" s="23">
        <f>'Sm Comm Cust Fcst'!M37</f>
        <v>0</v>
      </c>
      <c r="P36" s="23">
        <f>'Sm Comm Cust Fcst'!T37</f>
        <v>0</v>
      </c>
      <c r="Q36" s="23">
        <f>'Sm Comm Cust Fcst'!AA37</f>
        <v>0</v>
      </c>
      <c r="R36" s="41">
        <f t="shared" si="1"/>
        <v>0</v>
      </c>
      <c r="S36" s="23">
        <f>'Sch AL-TOU Cust Fcst'!F35</f>
        <v>0</v>
      </c>
      <c r="T36" s="23">
        <f>'Sch AL-TOU Cust Fcst'!G35</f>
        <v>0</v>
      </c>
      <c r="U36" s="23">
        <f>'Sch AL-TOU Cust Fcst'!H35</f>
        <v>0</v>
      </c>
      <c r="V36" s="23">
        <f>'Sch DG-R Cust Fcst'!F35</f>
        <v>0</v>
      </c>
      <c r="W36" s="23">
        <f>'Sch DG-R Cust Fcst'!G35</f>
        <v>0</v>
      </c>
      <c r="X36" s="23">
        <f>'Sch A6-TOU Cust Fcst '!B35</f>
        <v>0</v>
      </c>
      <c r="Y36" s="23">
        <f>'Sch A6-TOU Cust Fcst '!C35</f>
        <v>0</v>
      </c>
      <c r="Z36" s="23">
        <f>'Sch OL-TOU Cust Fcst'!F35</f>
        <v>0</v>
      </c>
      <c r="AA36" s="41">
        <f t="shared" si="2"/>
        <v>0</v>
      </c>
      <c r="AB36" s="23"/>
      <c r="AC36" s="23"/>
      <c r="AD36" s="23">
        <f>'Sch TOU-PA Cust Fcst'!F35</f>
        <v>0</v>
      </c>
      <c r="AE36" s="23">
        <f>'Sch TOU-PA Cust Fcst'!G35</f>
        <v>0</v>
      </c>
      <c r="AF36" s="41">
        <f t="shared" si="3"/>
        <v>0</v>
      </c>
      <c r="AG36" s="109"/>
      <c r="AH36" s="109">
        <f t="shared" si="4"/>
        <v>0</v>
      </c>
      <c r="AI36" s="23">
        <f t="shared" si="5"/>
        <v>0</v>
      </c>
      <c r="AJ36" s="23">
        <f t="shared" si="6"/>
        <v>0</v>
      </c>
      <c r="AK36" s="136"/>
      <c r="AL36" s="136">
        <f t="shared" si="7"/>
        <v>0</v>
      </c>
    </row>
    <row r="37" spans="1:38" ht="13">
      <c r="A37" s="21" t="s">
        <v>27</v>
      </c>
      <c r="B37" s="109">
        <f>'Resid Cust Fcst '!H38</f>
        <v>0</v>
      </c>
      <c r="C37" s="23">
        <f>'Resid Cust Fcst '!O38</f>
        <v>0</v>
      </c>
      <c r="D37" s="23">
        <f>'Resid Cust Fcst '!V38</f>
        <v>0</v>
      </c>
      <c r="E37" s="23">
        <f>'Resid Cust Fcst '!AC38</f>
        <v>0</v>
      </c>
      <c r="F37" s="23">
        <f>'Resid Cust Fcst '!AJ38</f>
        <v>0</v>
      </c>
      <c r="G37" s="23">
        <f>'Resid Cust Fcst '!AQ38</f>
        <v>0</v>
      </c>
      <c r="H37" s="23">
        <f>'Resid Cust Fcst '!AX38</f>
        <v>0</v>
      </c>
      <c r="I37" s="23">
        <f>'Resid Cust Fcst '!BE38</f>
        <v>0</v>
      </c>
      <c r="J37" s="23">
        <f>'Resid Cust Fcst '!BL38</f>
        <v>0</v>
      </c>
      <c r="K37" s="23">
        <f>'Resid Cust Fcst '!BS38</f>
        <v>0</v>
      </c>
      <c r="L37" s="41">
        <f t="shared" si="0"/>
        <v>0</v>
      </c>
      <c r="M37" s="23">
        <f>'Sm Comm Cust Fcst'!F38</f>
        <v>0</v>
      </c>
      <c r="N37" s="23">
        <f>'Sm Comm Cust Fcst'!G38</f>
        <v>0</v>
      </c>
      <c r="O37" s="23">
        <f>'Sm Comm Cust Fcst'!M38</f>
        <v>0</v>
      </c>
      <c r="P37" s="23">
        <f>'Sm Comm Cust Fcst'!T38</f>
        <v>0</v>
      </c>
      <c r="Q37" s="23">
        <f>'Sm Comm Cust Fcst'!AA38</f>
        <v>0</v>
      </c>
      <c r="R37" s="41">
        <f t="shared" si="1"/>
        <v>0</v>
      </c>
      <c r="S37" s="23">
        <f>'Sch AL-TOU Cust Fcst'!F36</f>
        <v>0</v>
      </c>
      <c r="T37" s="23">
        <f>'Sch AL-TOU Cust Fcst'!G36</f>
        <v>0</v>
      </c>
      <c r="U37" s="23">
        <f>'Sch AL-TOU Cust Fcst'!H36</f>
        <v>0</v>
      </c>
      <c r="V37" s="23">
        <f>'Sch DG-R Cust Fcst'!F36</f>
        <v>0</v>
      </c>
      <c r="W37" s="23">
        <f>'Sch DG-R Cust Fcst'!G36</f>
        <v>0</v>
      </c>
      <c r="X37" s="23">
        <f>'Sch A6-TOU Cust Fcst '!B36</f>
        <v>0</v>
      </c>
      <c r="Y37" s="23">
        <f>'Sch A6-TOU Cust Fcst '!C36</f>
        <v>0</v>
      </c>
      <c r="Z37" s="23">
        <f>'Sch OL-TOU Cust Fcst'!F36</f>
        <v>0</v>
      </c>
      <c r="AA37" s="41">
        <f t="shared" si="2"/>
        <v>0</v>
      </c>
      <c r="AB37" s="23"/>
      <c r="AC37" s="23"/>
      <c r="AD37" s="23">
        <f>'Sch TOU-PA Cust Fcst'!F36</f>
        <v>0</v>
      </c>
      <c r="AE37" s="23">
        <f>'Sch TOU-PA Cust Fcst'!G36</f>
        <v>0</v>
      </c>
      <c r="AF37" s="41">
        <f t="shared" si="3"/>
        <v>0</v>
      </c>
      <c r="AG37" s="109"/>
      <c r="AH37" s="109">
        <f t="shared" si="4"/>
        <v>0</v>
      </c>
      <c r="AI37" s="23">
        <f t="shared" si="5"/>
        <v>0</v>
      </c>
      <c r="AJ37" s="23">
        <f t="shared" si="6"/>
        <v>0</v>
      </c>
      <c r="AK37" s="136"/>
      <c r="AL37" s="136">
        <f t="shared" si="7"/>
        <v>0</v>
      </c>
    </row>
    <row r="38" spans="1:38" ht="13">
      <c r="A38" s="11"/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76"/>
      <c r="M38" s="12"/>
      <c r="N38" s="12"/>
      <c r="O38" s="12"/>
      <c r="P38" s="12"/>
      <c r="Q38" s="12"/>
      <c r="R38" s="76"/>
      <c r="S38" s="12"/>
      <c r="T38" s="13"/>
      <c r="U38" s="13"/>
      <c r="V38" s="12"/>
      <c r="W38" s="13"/>
      <c r="X38" s="13"/>
      <c r="Y38" s="13"/>
      <c r="Z38" s="23">
        <f>'Sch OL-TOU Cust Fcst'!F37</f>
        <v>0</v>
      </c>
      <c r="AA38" s="14"/>
      <c r="AB38" s="13"/>
      <c r="AC38" s="13"/>
      <c r="AD38" s="13"/>
      <c r="AE38" s="13"/>
      <c r="AF38" s="41">
        <f t="shared" si="3"/>
        <v>0</v>
      </c>
      <c r="AG38" s="107"/>
      <c r="AH38" s="107"/>
      <c r="AI38" s="13"/>
      <c r="AJ38" s="23"/>
      <c r="AK38" s="153"/>
      <c r="AL38" s="153"/>
    </row>
    <row r="39" spans="1:38" ht="13">
      <c r="A39" s="21" t="s">
        <v>2</v>
      </c>
      <c r="B39" s="171">
        <f t="shared" ref="B39:AK39" si="8">SUM(B7:B38)</f>
        <v>1</v>
      </c>
      <c r="C39" s="42">
        <f t="shared" si="8"/>
        <v>0</v>
      </c>
      <c r="D39" s="42">
        <f t="shared" si="8"/>
        <v>0</v>
      </c>
      <c r="E39" s="42">
        <f t="shared" si="8"/>
        <v>0</v>
      </c>
      <c r="F39" s="42">
        <f t="shared" si="8"/>
        <v>0</v>
      </c>
      <c r="G39" s="42">
        <f t="shared" si="8"/>
        <v>0</v>
      </c>
      <c r="H39" s="42">
        <f t="shared" si="8"/>
        <v>0</v>
      </c>
      <c r="I39" s="42">
        <f t="shared" si="8"/>
        <v>0</v>
      </c>
      <c r="J39" s="42">
        <f t="shared" si="8"/>
        <v>0</v>
      </c>
      <c r="K39" s="42">
        <f t="shared" si="8"/>
        <v>0</v>
      </c>
      <c r="L39" s="172">
        <f t="shared" si="8"/>
        <v>1</v>
      </c>
      <c r="M39" s="42">
        <f t="shared" si="8"/>
        <v>642</v>
      </c>
      <c r="N39" s="42">
        <f t="shared" si="8"/>
        <v>0</v>
      </c>
      <c r="O39" s="42">
        <f t="shared" si="8"/>
        <v>0</v>
      </c>
      <c r="P39" s="42">
        <f t="shared" si="8"/>
        <v>2</v>
      </c>
      <c r="Q39" s="42">
        <f t="shared" si="8"/>
        <v>0</v>
      </c>
      <c r="R39" s="172">
        <f t="shared" si="8"/>
        <v>644</v>
      </c>
      <c r="S39" s="42">
        <f t="shared" si="8"/>
        <v>804</v>
      </c>
      <c r="T39" s="42">
        <f t="shared" si="8"/>
        <v>45</v>
      </c>
      <c r="U39" s="42">
        <f t="shared" si="8"/>
        <v>0</v>
      </c>
      <c r="V39" s="42">
        <f t="shared" si="8"/>
        <v>102</v>
      </c>
      <c r="W39" s="42">
        <f t="shared" si="8"/>
        <v>13</v>
      </c>
      <c r="X39" s="42">
        <f t="shared" si="8"/>
        <v>1</v>
      </c>
      <c r="Y39" s="42">
        <f t="shared" si="8"/>
        <v>0</v>
      </c>
      <c r="Z39" s="23">
        <f>'Sch OL-TOU Cust Fcst'!F38</f>
        <v>3</v>
      </c>
      <c r="AA39" s="172">
        <f t="shared" si="8"/>
        <v>968</v>
      </c>
      <c r="AB39" s="42"/>
      <c r="AC39" s="42"/>
      <c r="AD39" s="42">
        <f t="shared" si="8"/>
        <v>3</v>
      </c>
      <c r="AE39" s="42">
        <f t="shared" si="8"/>
        <v>0</v>
      </c>
      <c r="AF39" s="41">
        <f t="shared" si="3"/>
        <v>3</v>
      </c>
      <c r="AG39" s="42">
        <f t="shared" si="8"/>
        <v>103</v>
      </c>
      <c r="AH39" s="171">
        <f t="shared" si="8"/>
        <v>1557</v>
      </c>
      <c r="AI39" s="42">
        <f t="shared" si="8"/>
        <v>59</v>
      </c>
      <c r="AJ39" s="42">
        <f t="shared" si="8"/>
        <v>1616</v>
      </c>
      <c r="AK39" s="609">
        <f t="shared" si="8"/>
        <v>103</v>
      </c>
      <c r="AL39" s="150">
        <f>SUM(AL7:AL38)</f>
        <v>1719</v>
      </c>
    </row>
    <row r="40" spans="1:38" ht="13" thickBot="1">
      <c r="A40" s="15"/>
      <c r="B40" s="15"/>
      <c r="C40" s="28"/>
      <c r="D40" s="28"/>
      <c r="E40" s="28"/>
      <c r="F40" s="28"/>
      <c r="G40" s="28"/>
      <c r="H40" s="28"/>
      <c r="I40" s="28"/>
      <c r="J40" s="28"/>
      <c r="K40" s="28"/>
      <c r="L40" s="80"/>
      <c r="M40" s="28"/>
      <c r="N40" s="28"/>
      <c r="O40" s="28"/>
      <c r="P40" s="28"/>
      <c r="Q40" s="28"/>
      <c r="R40" s="80"/>
      <c r="S40" s="28"/>
      <c r="T40" s="16"/>
      <c r="U40" s="16"/>
      <c r="V40" s="28"/>
      <c r="W40" s="16"/>
      <c r="X40" s="16"/>
      <c r="Y40" s="16"/>
      <c r="Z40" s="16"/>
      <c r="AA40" s="17"/>
      <c r="AB40" s="16"/>
      <c r="AC40" s="16"/>
      <c r="AD40" s="16"/>
      <c r="AE40" s="16"/>
      <c r="AF40" s="17"/>
      <c r="AG40" s="110"/>
      <c r="AH40" s="110"/>
      <c r="AI40" s="16"/>
      <c r="AJ40" s="16"/>
      <c r="AK40" s="137"/>
      <c r="AL40" s="137"/>
    </row>
    <row r="41" spans="1:38">
      <c r="T41" s="18"/>
      <c r="U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1:38" ht="13">
      <c r="A42" s="174"/>
      <c r="B42" s="12"/>
      <c r="C42" s="12"/>
      <c r="T42" s="18"/>
      <c r="U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1:38" ht="13">
      <c r="A43" s="174"/>
      <c r="B43" s="296"/>
      <c r="C43" s="581"/>
      <c r="D43" s="338"/>
      <c r="E43" s="338"/>
      <c r="F43" s="338"/>
      <c r="G43" s="338"/>
      <c r="H43" s="338"/>
      <c r="I43" s="338"/>
      <c r="J43" s="338"/>
      <c r="K43" s="338"/>
      <c r="L43" s="339"/>
      <c r="M43" s="338"/>
      <c r="N43" s="338"/>
      <c r="O43" s="338"/>
      <c r="P43" s="338"/>
      <c r="Q43" s="338"/>
      <c r="R43" s="339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2"/>
      <c r="AE43" s="52"/>
      <c r="AF43" s="51"/>
      <c r="AG43" s="52"/>
      <c r="AH43" s="52"/>
      <c r="AI43" s="52"/>
      <c r="AJ43" s="52"/>
      <c r="AK43" s="52"/>
      <c r="AL43" s="51"/>
    </row>
    <row r="44" spans="1:38" ht="13">
      <c r="A44" s="89"/>
      <c r="B44" s="431"/>
      <c r="C44" s="581"/>
      <c r="D44" s="338"/>
      <c r="E44" s="338"/>
      <c r="F44" s="338"/>
      <c r="G44" s="338"/>
      <c r="H44" s="338"/>
      <c r="I44" s="338"/>
      <c r="J44" s="338"/>
      <c r="K44" s="338"/>
      <c r="L44" s="338"/>
      <c r="M44" s="338"/>
      <c r="N44" s="338"/>
      <c r="O44" s="338"/>
      <c r="P44" s="338"/>
      <c r="Q44" s="338"/>
      <c r="R44" s="338"/>
      <c r="S44" s="52"/>
      <c r="T44" s="51"/>
      <c r="U44" s="51"/>
      <c r="V44" s="52"/>
      <c r="W44" s="51"/>
      <c r="X44" s="51"/>
      <c r="Y44" s="51"/>
      <c r="Z44" s="52"/>
      <c r="AA44" s="51"/>
      <c r="AB44" s="51"/>
      <c r="AC44" s="51"/>
      <c r="AD44" s="52"/>
      <c r="AE44" s="52"/>
      <c r="AF44" s="52"/>
      <c r="AG44" s="52"/>
      <c r="AH44" s="52"/>
      <c r="AI44" s="52"/>
      <c r="AJ44" s="52"/>
      <c r="AK44" s="52"/>
      <c r="AL44" s="51"/>
    </row>
    <row r="45" spans="1:38" ht="13">
      <c r="A45" s="340"/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39"/>
      <c r="O45" s="339"/>
      <c r="P45" s="339"/>
      <c r="Q45" s="339"/>
      <c r="R45" s="339"/>
      <c r="S45" s="51"/>
      <c r="T45" s="51"/>
      <c r="U45" s="51"/>
      <c r="V45" s="51"/>
      <c r="W45" s="51"/>
      <c r="X45" s="51"/>
      <c r="Y45" s="51"/>
      <c r="Z45" s="52"/>
      <c r="AA45" s="51"/>
      <c r="AB45" s="51"/>
      <c r="AC45" s="51"/>
      <c r="AD45" s="52"/>
      <c r="AE45" s="52"/>
      <c r="AF45" s="52"/>
      <c r="AG45" s="51"/>
      <c r="AH45" s="51"/>
      <c r="AI45" s="51"/>
      <c r="AJ45" s="51"/>
      <c r="AK45" s="51"/>
      <c r="AL45" s="51"/>
    </row>
    <row r="46" spans="1:38" ht="13">
      <c r="A46" s="340"/>
      <c r="B46" s="339"/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39"/>
      <c r="P46" s="339"/>
      <c r="Q46" s="339"/>
      <c r="R46" s="339"/>
      <c r="S46" s="51"/>
      <c r="T46" s="51"/>
      <c r="U46" s="51"/>
      <c r="V46" s="51"/>
      <c r="W46" s="51"/>
      <c r="X46" s="51"/>
      <c r="Y46" s="51"/>
      <c r="Z46" s="52"/>
      <c r="AA46" s="51"/>
      <c r="AB46" s="51"/>
      <c r="AC46" s="51"/>
      <c r="AD46" s="52"/>
      <c r="AE46" s="52"/>
      <c r="AF46" s="52"/>
      <c r="AG46" s="51"/>
      <c r="AH46" s="51"/>
      <c r="AI46" s="51"/>
      <c r="AJ46" s="51"/>
      <c r="AK46" s="51"/>
      <c r="AL46" s="51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 ht="13">
      <c r="A48" s="340"/>
      <c r="B48" s="341"/>
      <c r="C48" s="341"/>
      <c r="D48" s="341"/>
      <c r="E48" s="341"/>
      <c r="F48" s="341"/>
      <c r="G48" s="341"/>
      <c r="H48" s="341"/>
      <c r="I48" s="341"/>
      <c r="J48" s="341"/>
      <c r="K48" s="341"/>
      <c r="L48" s="341"/>
      <c r="M48" s="338"/>
      <c r="N48" s="338"/>
      <c r="O48" s="341"/>
      <c r="P48" s="341"/>
      <c r="Q48" s="341"/>
      <c r="R48" s="341"/>
      <c r="S48" s="198"/>
      <c r="T48" s="52"/>
      <c r="U48" s="52"/>
      <c r="V48" s="198"/>
      <c r="W48" s="52"/>
      <c r="X48" s="198"/>
      <c r="Y48" s="52"/>
      <c r="Z48" s="198"/>
      <c r="AA48" s="198"/>
      <c r="AB48" s="198"/>
      <c r="AC48" s="198"/>
      <c r="AD48" s="52"/>
      <c r="AE48" s="52"/>
      <c r="AF48" s="52"/>
      <c r="AG48" s="198"/>
      <c r="AH48" s="198"/>
      <c r="AI48" s="198"/>
      <c r="AJ48" s="198"/>
      <c r="AK48" s="198"/>
      <c r="AL48" s="198"/>
    </row>
    <row r="53" spans="1:2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V53" s="19"/>
    </row>
    <row r="65" spans="1:2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V65" s="19"/>
    </row>
  </sheetData>
  <mergeCells count="10">
    <mergeCell ref="A1:AL1"/>
    <mergeCell ref="X3:Y3"/>
    <mergeCell ref="AD3:AE3"/>
    <mergeCell ref="M3:N3"/>
    <mergeCell ref="AH2:AL2"/>
    <mergeCell ref="AH3:AJ3"/>
    <mergeCell ref="B2:L2"/>
    <mergeCell ref="M2:R2"/>
    <mergeCell ref="S2:AA2"/>
    <mergeCell ref="AB2:AF2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27EB-80BC-4C43-BD17-5B5737379B1C}">
  <sheetPr>
    <pageSetUpPr fitToPage="1"/>
  </sheetPr>
  <dimension ref="A1:AF48"/>
  <sheetViews>
    <sheetView zoomScaleNormal="100" workbookViewId="0">
      <selection activeCell="D13" sqref="D13"/>
    </sheetView>
  </sheetViews>
  <sheetFormatPr defaultRowHeight="12.5"/>
  <cols>
    <col min="1" max="1" width="17.54296875" bestFit="1" customWidth="1"/>
    <col min="2" max="2" width="14" customWidth="1"/>
    <col min="3" max="3" width="12.26953125" bestFit="1" customWidth="1"/>
    <col min="4" max="5" width="14" bestFit="1" customWidth="1"/>
    <col min="6" max="6" width="12.26953125" bestFit="1" customWidth="1"/>
    <col min="7" max="7" width="14" bestFit="1" customWidth="1"/>
    <col min="8" max="10" width="17.26953125" customWidth="1"/>
    <col min="11" max="11" width="15.1796875" customWidth="1"/>
    <col min="12" max="12" width="14" bestFit="1" customWidth="1"/>
    <col min="13" max="13" width="12.26953125" bestFit="1" customWidth="1"/>
    <col min="14" max="14" width="26.81640625" bestFit="1" customWidth="1"/>
    <col min="15" max="15" width="11.26953125" bestFit="1" customWidth="1"/>
    <col min="16" max="16" width="8.453125" bestFit="1" customWidth="1"/>
    <col min="17" max="17" width="14" bestFit="1" customWidth="1"/>
  </cols>
  <sheetData>
    <row r="1" spans="1:32" ht="18">
      <c r="A1" s="766" t="s">
        <v>359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  <c r="M1" s="611"/>
      <c r="N1" s="611"/>
      <c r="O1" s="611"/>
      <c r="P1" s="611"/>
      <c r="Q1" s="611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</row>
    <row r="2" spans="1:32" ht="18">
      <c r="A2" s="766" t="s">
        <v>360</v>
      </c>
      <c r="B2" s="766"/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611"/>
      <c r="N2" s="611"/>
      <c r="O2" s="611"/>
      <c r="P2" s="611"/>
      <c r="Q2" s="611"/>
    </row>
    <row r="3" spans="1:32" ht="18.5" thickBot="1">
      <c r="A3" s="612"/>
      <c r="B3" s="612"/>
      <c r="C3" s="612"/>
      <c r="D3" s="612"/>
      <c r="E3" s="612"/>
      <c r="F3" s="612"/>
      <c r="G3" s="612"/>
      <c r="H3" s="612"/>
      <c r="I3" s="612"/>
      <c r="J3" s="612"/>
      <c r="K3" s="612"/>
      <c r="L3" s="611"/>
      <c r="M3" s="611"/>
      <c r="N3" s="611"/>
      <c r="O3" s="611"/>
      <c r="P3" s="611"/>
      <c r="Q3" s="611"/>
    </row>
    <row r="4" spans="1:32" ht="13.5" thickBot="1">
      <c r="A4" s="601"/>
      <c r="B4" s="759" t="s">
        <v>62</v>
      </c>
      <c r="C4" s="767"/>
      <c r="D4" s="767"/>
      <c r="E4" s="767"/>
      <c r="F4" s="767"/>
      <c r="G4" s="767"/>
      <c r="H4" s="767"/>
      <c r="I4" s="767"/>
      <c r="J4" s="767"/>
      <c r="K4" s="767"/>
      <c r="L4" s="760"/>
      <c r="N4" s="698"/>
      <c r="O4" s="699"/>
    </row>
    <row r="5" spans="1:32" ht="13.5" thickBot="1">
      <c r="A5" s="16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N5" s="700"/>
      <c r="O5" s="701" t="s">
        <v>28</v>
      </c>
    </row>
    <row r="6" spans="1:32" ht="18.75" customHeight="1" thickBot="1">
      <c r="A6" s="168"/>
      <c r="B6" s="53" t="s">
        <v>28</v>
      </c>
      <c r="C6" s="53" t="s">
        <v>29</v>
      </c>
      <c r="D6" s="53" t="s">
        <v>30</v>
      </c>
      <c r="E6" s="53" t="s">
        <v>31</v>
      </c>
      <c r="F6" s="53" t="s">
        <v>68</v>
      </c>
      <c r="G6" s="53" t="s">
        <v>66</v>
      </c>
      <c r="H6" s="53" t="s">
        <v>287</v>
      </c>
      <c r="I6" s="53" t="s">
        <v>67</v>
      </c>
      <c r="J6" s="53" t="s">
        <v>89</v>
      </c>
      <c r="K6" s="53" t="s">
        <v>88</v>
      </c>
      <c r="L6" s="53" t="s">
        <v>2</v>
      </c>
      <c r="N6" s="702" t="s">
        <v>382</v>
      </c>
      <c r="O6" s="705">
        <f>B7</f>
        <v>1809.6258981595943</v>
      </c>
    </row>
    <row r="7" spans="1:32" ht="13.5" thickBot="1">
      <c r="A7" s="10" t="s">
        <v>361</v>
      </c>
      <c r="B7" s="613">
        <f>SUM('Sch DR TSM'!Z7:AB37)/O8</f>
        <v>1809.6258981595943</v>
      </c>
      <c r="C7" s="613"/>
      <c r="D7" s="613"/>
      <c r="E7" s="613"/>
      <c r="F7" s="613"/>
      <c r="G7" s="613"/>
      <c r="H7" s="613"/>
      <c r="I7" s="613"/>
      <c r="J7" s="613"/>
      <c r="K7" s="613"/>
      <c r="L7" s="614">
        <f>SUM(B7:K7)</f>
        <v>1809.6258981595943</v>
      </c>
      <c r="N7" s="702" t="s">
        <v>383</v>
      </c>
      <c r="O7" s="706">
        <f>B7</f>
        <v>1809.6258981595943</v>
      </c>
    </row>
    <row r="8" spans="1:32" ht="13.5" thickBot="1">
      <c r="A8" s="56" t="s">
        <v>362</v>
      </c>
      <c r="B8" s="681">
        <f>B7/$H47</f>
        <v>8.6261810240816901E-7</v>
      </c>
      <c r="C8" s="615"/>
      <c r="D8" s="615"/>
      <c r="E8" s="615"/>
      <c r="F8" s="615"/>
      <c r="G8" s="615"/>
      <c r="H8" s="615"/>
      <c r="I8" s="615"/>
      <c r="J8" s="615"/>
      <c r="K8" s="615"/>
      <c r="L8" s="616">
        <f>L7/$H47</f>
        <v>8.6261810240816901E-7</v>
      </c>
      <c r="N8" s="703" t="s">
        <v>384</v>
      </c>
      <c r="O8" s="704">
        <v>1</v>
      </c>
    </row>
    <row r="9" spans="1:32"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</row>
    <row r="10" spans="1:32" ht="13" thickBot="1">
      <c r="L10" s="31"/>
    </row>
    <row r="11" spans="1:32" ht="13.5" thickBot="1">
      <c r="A11" s="601"/>
      <c r="B11" s="761" t="s">
        <v>363</v>
      </c>
      <c r="C11" s="762"/>
      <c r="D11" s="762"/>
      <c r="E11" s="762"/>
      <c r="F11" s="762"/>
      <c r="G11" s="763"/>
      <c r="H11" s="617"/>
      <c r="I11" s="617"/>
    </row>
    <row r="12" spans="1:32" ht="13">
      <c r="A12" s="168"/>
      <c r="B12" s="759" t="s">
        <v>316</v>
      </c>
      <c r="C12" s="760"/>
      <c r="D12" s="78"/>
      <c r="E12" s="78"/>
      <c r="F12" s="78"/>
      <c r="G12" s="78"/>
    </row>
    <row r="13" spans="1:32" ht="13.5" thickBot="1">
      <c r="A13" s="168"/>
      <c r="B13" s="342" t="s">
        <v>0</v>
      </c>
      <c r="C13" s="344" t="s">
        <v>1</v>
      </c>
      <c r="D13" s="53" t="s">
        <v>69</v>
      </c>
      <c r="E13" s="53" t="s">
        <v>428</v>
      </c>
      <c r="F13" s="53" t="s">
        <v>71</v>
      </c>
      <c r="G13" s="53" t="s">
        <v>2</v>
      </c>
    </row>
    <row r="14" spans="1:32" ht="13">
      <c r="A14" s="10" t="s">
        <v>361</v>
      </c>
      <c r="B14" s="618">
        <f>SUM('Sch TOU-A TSM'!R7:T38)/(Inputs!$C$21)</f>
        <v>2885265.1854840894</v>
      </c>
      <c r="C14" s="619"/>
      <c r="D14" s="619"/>
      <c r="E14" s="620">
        <f>SUM('Sch TOU-M TSM'!R7:T38)/(Inputs!$C$21)</f>
        <v>23089.937088478611</v>
      </c>
      <c r="F14" s="620"/>
      <c r="G14" s="619">
        <f>SUM(B14:F14)</f>
        <v>2908355.1225725682</v>
      </c>
    </row>
    <row r="15" spans="1:32" ht="13.5" thickBot="1">
      <c r="A15" s="56" t="s">
        <v>362</v>
      </c>
      <c r="B15" s="621">
        <f>B14/$H47</f>
        <v>1.3753571839228507E-3</v>
      </c>
      <c r="C15" s="616"/>
      <c r="D15" s="616"/>
      <c r="E15" s="680">
        <f>E14/$H47</f>
        <v>1.1006583038098648E-5</v>
      </c>
      <c r="F15" s="615"/>
      <c r="G15" s="616">
        <f>G14/$H47</f>
        <v>1.3863637669609494E-3</v>
      </c>
    </row>
    <row r="17" spans="1:13" ht="13" thickBot="1"/>
    <row r="18" spans="1:13" ht="13.5" thickBot="1">
      <c r="A18" s="78"/>
      <c r="B18" s="762" t="s">
        <v>364</v>
      </c>
      <c r="C18" s="762"/>
      <c r="D18" s="762"/>
      <c r="E18" s="762"/>
      <c r="F18" s="763"/>
      <c r="G18" s="617"/>
      <c r="H18" s="617"/>
      <c r="I18" s="617"/>
      <c r="J18" s="617"/>
      <c r="K18" s="617"/>
      <c r="L18" s="89"/>
    </row>
    <row r="19" spans="1:13" ht="13">
      <c r="A19" s="71"/>
      <c r="B19" s="767" t="s">
        <v>72</v>
      </c>
      <c r="C19" s="767"/>
      <c r="D19" s="760"/>
      <c r="E19" s="759" t="s">
        <v>90</v>
      </c>
      <c r="F19" s="760"/>
    </row>
    <row r="20" spans="1:13" ht="13.5" thickBot="1">
      <c r="A20" s="71"/>
      <c r="B20" s="599" t="s">
        <v>0</v>
      </c>
      <c r="C20" s="599" t="s">
        <v>1</v>
      </c>
      <c r="D20" s="600" t="s">
        <v>365</v>
      </c>
      <c r="E20" s="599" t="s">
        <v>0</v>
      </c>
      <c r="F20" s="600" t="s">
        <v>1</v>
      </c>
    </row>
    <row r="21" spans="1:13" ht="13">
      <c r="A21" s="84" t="s">
        <v>361</v>
      </c>
      <c r="B21" s="622">
        <f>SUM('Sch AL-TOU TSM'!R7:T37)/(Inputs!$C$21)</f>
        <v>15534281.540750282</v>
      </c>
      <c r="C21" s="130">
        <f>SUM('Sch AL-TOU TSM'!V7:X37)/(Inputs!$C$21)</f>
        <v>227660.243386485</v>
      </c>
      <c r="D21" s="623"/>
      <c r="E21" s="622">
        <f>SUM('Sch DG-R TSM'!R7:T37)/(Inputs!$C$21)</f>
        <v>2074058.0573728704</v>
      </c>
      <c r="F21" s="624">
        <f>SUM('Sch DG-R TSM'!V7:X37)/(Inputs!$C$21)</f>
        <v>65877.992089428983</v>
      </c>
    </row>
    <row r="22" spans="1:13" ht="13.5" thickBot="1">
      <c r="A22" s="629" t="s">
        <v>362</v>
      </c>
      <c r="B22" s="625">
        <f>B21/$H47</f>
        <v>7.4049296479368094E-3</v>
      </c>
      <c r="C22" s="625">
        <f>C21/$H47</f>
        <v>1.085217930090168E-4</v>
      </c>
      <c r="D22" s="616"/>
      <c r="E22" s="625">
        <f>E21/$H47</f>
        <v>9.8866844664132511E-4</v>
      </c>
      <c r="F22" s="682">
        <f>F21/$H47</f>
        <v>3.1402926198413566E-5</v>
      </c>
    </row>
    <row r="23" spans="1:13" ht="13">
      <c r="A23" s="27"/>
      <c r="B23" s="626"/>
      <c r="C23" s="626"/>
      <c r="D23" s="626"/>
      <c r="E23" s="626"/>
      <c r="F23" s="626"/>
      <c r="G23" s="626"/>
      <c r="H23" s="626"/>
      <c r="I23" s="626"/>
      <c r="J23" s="626"/>
      <c r="K23" s="626"/>
      <c r="L23" s="626"/>
      <c r="M23" s="626"/>
    </row>
    <row r="24" spans="1:13" ht="13.5" thickBot="1">
      <c r="A24" s="27"/>
      <c r="B24" s="626"/>
      <c r="C24" s="626"/>
      <c r="D24" s="626"/>
      <c r="E24" s="626"/>
      <c r="F24" s="626"/>
      <c r="G24" s="57"/>
      <c r="H24" s="18"/>
    </row>
    <row r="25" spans="1:13" ht="13.5" thickBot="1">
      <c r="A25" s="601"/>
      <c r="B25" s="761" t="s">
        <v>364</v>
      </c>
      <c r="C25" s="762"/>
      <c r="D25" s="762"/>
      <c r="E25" s="763"/>
      <c r="F25" s="617"/>
      <c r="G25" s="617"/>
    </row>
    <row r="26" spans="1:13" ht="13">
      <c r="A26" s="71"/>
      <c r="B26" s="759" t="s">
        <v>55</v>
      </c>
      <c r="C26" s="760"/>
      <c r="D26" s="627"/>
      <c r="E26" s="627"/>
    </row>
    <row r="27" spans="1:13" ht="13.5" thickBot="1">
      <c r="A27" s="71"/>
      <c r="B27" s="598" t="s">
        <v>1</v>
      </c>
      <c r="C27" s="600" t="s">
        <v>84</v>
      </c>
      <c r="D27" s="606" t="s">
        <v>125</v>
      </c>
      <c r="E27" s="606" t="s">
        <v>2</v>
      </c>
    </row>
    <row r="28" spans="1:13" ht="13">
      <c r="A28" s="84" t="s">
        <v>361</v>
      </c>
      <c r="B28" s="628">
        <f>SUM('Sch A6-TOU TSM'!B6:D36)/(Inputs!$C$21)</f>
        <v>5067.5378530329981</v>
      </c>
      <c r="C28" s="623"/>
      <c r="D28" s="614">
        <f>SUM('Sch OL-TOU TSM'!R7:T37)/(Inputs!$C$21)</f>
        <v>73519.454831905852</v>
      </c>
      <c r="E28" s="614">
        <f>SUM(B21:F21,B28:D28)</f>
        <v>17980464.826284003</v>
      </c>
    </row>
    <row r="29" spans="1:13" ht="13.5" thickBot="1">
      <c r="A29" s="629" t="s">
        <v>362</v>
      </c>
      <c r="B29" s="684">
        <f>B28/$H47</f>
        <v>2.4156097075702738E-6</v>
      </c>
      <c r="C29" s="616"/>
      <c r="D29" s="616">
        <f>D28/$H47</f>
        <v>3.5045482429091908E-5</v>
      </c>
      <c r="E29" s="616">
        <f>E28/$H47</f>
        <v>8.5709839059222252E-3</v>
      </c>
      <c r="K29" s="626"/>
      <c r="L29" s="626"/>
      <c r="M29" s="626"/>
    </row>
    <row r="31" spans="1:13" ht="13" thickBot="1"/>
    <row r="32" spans="1:13" ht="13.5" thickBot="1">
      <c r="A32" s="78"/>
      <c r="B32" s="761" t="s">
        <v>63</v>
      </c>
      <c r="C32" s="762"/>
      <c r="D32" s="762"/>
      <c r="E32" s="762"/>
      <c r="F32" s="763"/>
      <c r="G32" s="78" t="s">
        <v>58</v>
      </c>
      <c r="H32" s="630"/>
    </row>
    <row r="33" spans="1:10" ht="13.5" thickBot="1">
      <c r="A33" s="71"/>
      <c r="B33" s="764" t="s">
        <v>73</v>
      </c>
      <c r="C33" s="765"/>
      <c r="D33" s="764" t="s">
        <v>298</v>
      </c>
      <c r="E33" s="765"/>
      <c r="F33" s="631"/>
      <c r="G33" s="605"/>
      <c r="H33" s="605" t="s">
        <v>358</v>
      </c>
    </row>
    <row r="34" spans="1:10" ht="13.5" thickBot="1">
      <c r="A34" s="71"/>
      <c r="B34" s="342" t="s">
        <v>0</v>
      </c>
      <c r="C34" s="343" t="s">
        <v>1</v>
      </c>
      <c r="D34" s="598" t="s">
        <v>0</v>
      </c>
      <c r="E34" s="599" t="s">
        <v>1</v>
      </c>
      <c r="F34" s="53" t="s">
        <v>2</v>
      </c>
      <c r="G34" s="606" t="s">
        <v>2</v>
      </c>
      <c r="H34" s="606" t="s">
        <v>2</v>
      </c>
    </row>
    <row r="35" spans="1:10" ht="13">
      <c r="A35" s="84" t="s">
        <v>361</v>
      </c>
      <c r="B35" s="618"/>
      <c r="C35" s="130"/>
      <c r="D35" s="618">
        <f>SUM('Sch TOU-PA TSM'!R7:T37)/(Inputs!$C$21)</f>
        <v>29821.793487623028</v>
      </c>
      <c r="E35" s="130"/>
      <c r="F35" s="150">
        <f>SUM(B35:E35)</f>
        <v>29821.793487623028</v>
      </c>
      <c r="G35" s="614"/>
      <c r="H35" s="632">
        <f>L7+G14+E28+F35+G35</f>
        <v>20920451.368242353</v>
      </c>
    </row>
    <row r="36" spans="1:10" ht="13.5" thickBot="1">
      <c r="A36" s="629" t="s">
        <v>362</v>
      </c>
      <c r="B36" s="621"/>
      <c r="C36" s="625"/>
      <c r="D36" s="683">
        <f>D35/$H47</f>
        <v>1.4215545287489553E-5</v>
      </c>
      <c r="E36" s="625"/>
      <c r="F36" s="680">
        <f>F35/H47</f>
        <v>1.4215545287489553E-5</v>
      </c>
      <c r="G36" s="616"/>
      <c r="H36" s="616">
        <f>L8+G15+E29+F36+G36</f>
        <v>9.9724258362730734E-3</v>
      </c>
    </row>
    <row r="37" spans="1:10" ht="13" thickBot="1">
      <c r="B37" s="18"/>
    </row>
    <row r="38" spans="1:10" ht="13">
      <c r="H38" s="79"/>
    </row>
    <row r="39" spans="1:10" ht="13">
      <c r="B39" s="331"/>
      <c r="C39" s="331"/>
      <c r="D39" s="331"/>
      <c r="E39" s="331"/>
      <c r="H39" s="71" t="s">
        <v>381</v>
      </c>
    </row>
    <row r="40" spans="1:10" ht="13.5" thickBot="1">
      <c r="H40" s="53" t="s">
        <v>2</v>
      </c>
    </row>
    <row r="41" spans="1:10" ht="13">
      <c r="B41" s="18"/>
      <c r="C41" s="18"/>
      <c r="D41" s="18"/>
      <c r="E41" s="18"/>
      <c r="H41" s="150">
        <v>2076909275.4919589</v>
      </c>
    </row>
    <row r="42" spans="1:10" ht="13.5" thickBot="1">
      <c r="B42" s="18"/>
      <c r="C42" s="18"/>
      <c r="D42" s="18"/>
      <c r="E42" s="18"/>
      <c r="H42" s="615">
        <v>0.99002757416372711</v>
      </c>
    </row>
    <row r="43" spans="1:10" ht="13" thickBot="1"/>
    <row r="44" spans="1:10" ht="13">
      <c r="H44" s="79"/>
    </row>
    <row r="45" spans="1:10" ht="13">
      <c r="H45" s="71" t="s">
        <v>380</v>
      </c>
    </row>
    <row r="46" spans="1:10" ht="13.5" thickBot="1">
      <c r="H46" s="53" t="s">
        <v>2</v>
      </c>
    </row>
    <row r="47" spans="1:10" ht="13">
      <c r="H47" s="150">
        <f>H35+H41</f>
        <v>2097829726.8602011</v>
      </c>
      <c r="J47" s="18"/>
    </row>
    <row r="48" spans="1:10" ht="13.5" thickBot="1">
      <c r="H48" s="615">
        <f>H36+H42</f>
        <v>1.0000000000000002</v>
      </c>
    </row>
  </sheetData>
  <mergeCells count="13">
    <mergeCell ref="B33:C33"/>
    <mergeCell ref="D33:E33"/>
    <mergeCell ref="A1:L1"/>
    <mergeCell ref="A2:L2"/>
    <mergeCell ref="B4:L4"/>
    <mergeCell ref="B11:G11"/>
    <mergeCell ref="B12:C12"/>
    <mergeCell ref="B18:F18"/>
    <mergeCell ref="B19:D19"/>
    <mergeCell ref="E19:F19"/>
    <mergeCell ref="B25:E25"/>
    <mergeCell ref="B26:C26"/>
    <mergeCell ref="B32:F3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E6EC9-CE60-435A-9EE7-2D66BAE711DE}">
  <dimension ref="A1:AI50"/>
  <sheetViews>
    <sheetView zoomScale="70" zoomScaleNormal="7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J31" sqref="J31"/>
    </sheetView>
  </sheetViews>
  <sheetFormatPr defaultRowHeight="12.5"/>
  <cols>
    <col min="1" max="1" width="33" bestFit="1" customWidth="1"/>
    <col min="2" max="2" width="18" customWidth="1"/>
    <col min="3" max="4" width="13.1796875" bestFit="1" customWidth="1"/>
    <col min="5" max="5" width="14.26953125" bestFit="1" customWidth="1"/>
    <col min="6" max="9" width="12.81640625" customWidth="1"/>
    <col min="10" max="10" width="14.54296875" customWidth="1"/>
    <col min="11" max="11" width="12" bestFit="1" customWidth="1"/>
    <col min="12" max="12" width="17.26953125" bestFit="1" customWidth="1"/>
    <col min="13" max="14" width="15.81640625" customWidth="1"/>
    <col min="15" max="15" width="13.54296875" bestFit="1" customWidth="1"/>
    <col min="16" max="16" width="12.81640625" bestFit="1" customWidth="1"/>
    <col min="17" max="17" width="12.81640625" customWidth="1"/>
    <col min="18" max="18" width="15.453125" bestFit="1" customWidth="1"/>
    <col min="19" max="19" width="19.1796875" customWidth="1"/>
    <col min="20" max="20" width="14.81640625" customWidth="1"/>
    <col min="21" max="21" width="12" customWidth="1"/>
    <col min="22" max="23" width="13.54296875" customWidth="1"/>
    <col min="24" max="25" width="12" bestFit="1" customWidth="1"/>
    <col min="26" max="26" width="12" customWidth="1"/>
    <col min="27" max="33" width="15" customWidth="1"/>
    <col min="34" max="34" width="14.54296875" bestFit="1" customWidth="1"/>
    <col min="35" max="35" width="17.7265625" bestFit="1" customWidth="1"/>
  </cols>
  <sheetData>
    <row r="1" spans="1:35" ht="18.5" thickBot="1">
      <c r="A1" s="735" t="s">
        <v>366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54"/>
      <c r="T1" s="754"/>
      <c r="U1" s="754"/>
      <c r="V1" s="754"/>
      <c r="W1" s="754"/>
      <c r="X1" s="754"/>
      <c r="Y1" s="754"/>
      <c r="Z1" s="754"/>
      <c r="AA1" s="754"/>
      <c r="AB1" s="735"/>
      <c r="AC1" s="735"/>
      <c r="AD1" s="735"/>
      <c r="AE1" s="735"/>
      <c r="AF1" s="735"/>
      <c r="AG1" s="735"/>
      <c r="AH1" s="735"/>
    </row>
    <row r="2" spans="1:35" ht="13.5" thickBot="1">
      <c r="A2" s="601"/>
      <c r="B2" s="761" t="s">
        <v>62</v>
      </c>
      <c r="C2" s="762"/>
      <c r="D2" s="762"/>
      <c r="E2" s="762"/>
      <c r="F2" s="762"/>
      <c r="G2" s="762"/>
      <c r="H2" s="762"/>
      <c r="I2" s="762"/>
      <c r="J2" s="762"/>
      <c r="K2" s="762"/>
      <c r="L2" s="763"/>
      <c r="M2" s="761" t="s">
        <v>363</v>
      </c>
      <c r="N2" s="762"/>
      <c r="O2" s="762"/>
      <c r="P2" s="762"/>
      <c r="Q2" s="762"/>
      <c r="R2" s="763"/>
      <c r="S2" s="761" t="s">
        <v>411</v>
      </c>
      <c r="T2" s="762"/>
      <c r="U2" s="762"/>
      <c r="V2" s="762"/>
      <c r="W2" s="762"/>
      <c r="X2" s="762"/>
      <c r="Y2" s="762"/>
      <c r="Z2" s="762"/>
      <c r="AA2" s="763"/>
      <c r="AB2" s="761" t="s">
        <v>63</v>
      </c>
      <c r="AC2" s="762"/>
      <c r="AD2" s="762"/>
      <c r="AE2" s="762"/>
      <c r="AF2" s="763"/>
      <c r="AG2" s="78"/>
      <c r="AH2" s="630"/>
    </row>
    <row r="3" spans="1:35" ht="13">
      <c r="A3" s="168"/>
      <c r="B3" s="78"/>
      <c r="C3" s="78"/>
      <c r="D3" s="78"/>
      <c r="E3" s="78"/>
      <c r="F3" s="78"/>
      <c r="G3" s="78"/>
      <c r="H3" s="78"/>
      <c r="I3" s="78"/>
      <c r="J3" s="78"/>
      <c r="K3" s="78"/>
      <c r="L3" s="601"/>
      <c r="M3" s="759" t="s">
        <v>316</v>
      </c>
      <c r="N3" s="767"/>
      <c r="O3" s="603"/>
      <c r="P3" s="78"/>
      <c r="Q3" s="78"/>
      <c r="R3" s="603"/>
      <c r="S3" s="759" t="s">
        <v>72</v>
      </c>
      <c r="T3" s="767"/>
      <c r="U3" s="760"/>
      <c r="V3" s="759" t="s">
        <v>90</v>
      </c>
      <c r="W3" s="760"/>
      <c r="X3" s="759" t="s">
        <v>55</v>
      </c>
      <c r="Y3" s="760"/>
      <c r="Z3" s="78"/>
      <c r="AA3" s="78"/>
      <c r="AB3" s="759" t="s">
        <v>73</v>
      </c>
      <c r="AC3" s="767"/>
      <c r="AD3" s="759" t="s">
        <v>298</v>
      </c>
      <c r="AE3" s="760"/>
      <c r="AF3" s="630"/>
      <c r="AG3" s="71" t="s">
        <v>58</v>
      </c>
      <c r="AH3" s="605" t="s">
        <v>358</v>
      </c>
    </row>
    <row r="4" spans="1:35" ht="13.5" thickBot="1">
      <c r="A4" s="168"/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68</v>
      </c>
      <c r="G4" s="53" t="s">
        <v>66</v>
      </c>
      <c r="H4" s="53" t="s">
        <v>287</v>
      </c>
      <c r="I4" s="53" t="s">
        <v>67</v>
      </c>
      <c r="J4" s="53" t="s">
        <v>89</v>
      </c>
      <c r="K4" s="53" t="s">
        <v>88</v>
      </c>
      <c r="L4" s="604" t="s">
        <v>2</v>
      </c>
      <c r="M4" s="342" t="s">
        <v>0</v>
      </c>
      <c r="N4" s="343" t="s">
        <v>1</v>
      </c>
      <c r="O4" s="606" t="s">
        <v>69</v>
      </c>
      <c r="P4" s="53" t="s">
        <v>428</v>
      </c>
      <c r="Q4" s="53" t="s">
        <v>71</v>
      </c>
      <c r="R4" s="606" t="s">
        <v>2</v>
      </c>
      <c r="S4" s="598" t="s">
        <v>0</v>
      </c>
      <c r="T4" s="599" t="s">
        <v>1</v>
      </c>
      <c r="U4" s="600" t="s">
        <v>365</v>
      </c>
      <c r="V4" s="598" t="s">
        <v>0</v>
      </c>
      <c r="W4" s="600" t="s">
        <v>1</v>
      </c>
      <c r="X4" s="598" t="s">
        <v>1</v>
      </c>
      <c r="Y4" s="600" t="s">
        <v>365</v>
      </c>
      <c r="Z4" s="77" t="s">
        <v>125</v>
      </c>
      <c r="AA4" s="53" t="s">
        <v>2</v>
      </c>
      <c r="AB4" s="598" t="s">
        <v>0</v>
      </c>
      <c r="AC4" s="599" t="s">
        <v>1</v>
      </c>
      <c r="AD4" s="598" t="s">
        <v>0</v>
      </c>
      <c r="AE4" s="600" t="s">
        <v>1</v>
      </c>
      <c r="AF4" s="606" t="s">
        <v>2</v>
      </c>
      <c r="AG4" s="53" t="s">
        <v>2</v>
      </c>
      <c r="AH4" s="606" t="s">
        <v>2</v>
      </c>
    </row>
    <row r="5" spans="1:35" ht="13">
      <c r="A5" s="3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5"/>
      <c r="N5" s="7"/>
      <c r="O5" s="9"/>
      <c r="P5" s="106"/>
      <c r="Q5" s="106"/>
      <c r="R5" s="8"/>
      <c r="S5" s="5"/>
      <c r="T5" s="6"/>
      <c r="U5" s="9"/>
      <c r="V5" s="104"/>
      <c r="W5" s="9"/>
      <c r="X5" s="104"/>
      <c r="Y5" s="9"/>
      <c r="Z5" s="106"/>
      <c r="AA5" s="105"/>
      <c r="AB5" s="104"/>
      <c r="AC5" s="8"/>
      <c r="AD5" s="5"/>
      <c r="AE5" s="7"/>
      <c r="AF5" s="76"/>
      <c r="AG5" s="105"/>
      <c r="AH5" s="7"/>
    </row>
    <row r="6" spans="1:35" ht="13">
      <c r="A6" s="3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10"/>
      <c r="N6" s="81"/>
      <c r="O6" s="81"/>
      <c r="P6" s="84"/>
      <c r="Q6" s="84"/>
      <c r="R6" s="27"/>
      <c r="S6" s="10"/>
      <c r="T6" s="8"/>
      <c r="U6" s="9"/>
      <c r="V6" s="10"/>
      <c r="W6" s="9"/>
      <c r="X6" s="104"/>
      <c r="Y6" s="9"/>
      <c r="Z6" s="106"/>
      <c r="AA6" s="106"/>
      <c r="AB6" s="10"/>
      <c r="AC6" s="8"/>
      <c r="AD6" s="104"/>
      <c r="AE6" s="9"/>
      <c r="AF6" s="76"/>
      <c r="AG6" s="106"/>
      <c r="AH6" s="9"/>
    </row>
    <row r="7" spans="1:35" ht="13">
      <c r="A7" s="86" t="s">
        <v>367</v>
      </c>
      <c r="B7" s="685">
        <f>'TSM Cap Cost Allocations'!B8</f>
        <v>8.6261810240816901E-7</v>
      </c>
      <c r="C7" s="633"/>
      <c r="D7" s="633"/>
      <c r="E7" s="633"/>
      <c r="F7" s="633"/>
      <c r="G7" s="633"/>
      <c r="H7" s="633"/>
      <c r="I7" s="633"/>
      <c r="J7" s="633"/>
      <c r="K7" s="633"/>
      <c r="L7" s="685">
        <f>SUM(B7:K7)</f>
        <v>8.6261810240816901E-7</v>
      </c>
      <c r="M7" s="634">
        <f>'TSM Cap Cost Allocations'!B15</f>
        <v>1.3753571839228507E-3</v>
      </c>
      <c r="N7" s="635"/>
      <c r="O7" s="635"/>
      <c r="P7" s="686">
        <f>'TSM Cap Cost Allocations'!E15</f>
        <v>1.1006583038098648E-5</v>
      </c>
      <c r="Q7" s="636"/>
      <c r="R7" s="633">
        <f>SUM(M7:Q7)</f>
        <v>1.3863637669609494E-3</v>
      </c>
      <c r="S7" s="634">
        <f>'TSM Cap Cost Allocations'!B22</f>
        <v>7.4049296479368094E-3</v>
      </c>
      <c r="T7" s="633">
        <f>'TSM Cap Cost Allocations'!C22</f>
        <v>1.085217930090168E-4</v>
      </c>
      <c r="U7" s="637"/>
      <c r="V7" s="634">
        <f>'TSM Cap Cost Allocations'!E22</f>
        <v>9.8866844664132511E-4</v>
      </c>
      <c r="W7" s="638">
        <f>'TSM Cap Cost Allocations'!F22</f>
        <v>3.1402926198413566E-5</v>
      </c>
      <c r="X7" s="688">
        <f>'TSM Cap Cost Allocations'!B29</f>
        <v>2.4156097075702738E-6</v>
      </c>
      <c r="Y7" s="635"/>
      <c r="Z7" s="686">
        <f>'TSM Cap Cost Allocations'!D29</f>
        <v>3.5045482429091908E-5</v>
      </c>
      <c r="AA7" s="636">
        <f>SUM(S7:Z7)</f>
        <v>8.5709839059222252E-3</v>
      </c>
      <c r="AB7" s="634"/>
      <c r="AC7" s="633"/>
      <c r="AD7" s="687">
        <f>'TSM Cap Cost Allocations'!D36</f>
        <v>1.4215545287489553E-5</v>
      </c>
      <c r="AE7" s="638"/>
      <c r="AF7" s="639">
        <f>SUM(AB7:AE7)</f>
        <v>1.4215545287489553E-5</v>
      </c>
      <c r="AG7" s="636"/>
      <c r="AH7" s="635">
        <f>L7+R7+AA7+AF7</f>
        <v>9.9724258362730734E-3</v>
      </c>
    </row>
    <row r="8" spans="1:35" ht="13">
      <c r="A8" s="86"/>
      <c r="B8" s="23"/>
      <c r="C8" s="23"/>
      <c r="D8" s="23"/>
      <c r="E8" s="640"/>
      <c r="F8" s="640"/>
      <c r="G8" s="23"/>
      <c r="H8" s="23"/>
      <c r="I8" s="23"/>
      <c r="J8" s="640"/>
      <c r="K8" s="640"/>
      <c r="L8" s="641"/>
      <c r="M8" s="642"/>
      <c r="N8" s="643"/>
      <c r="O8" s="643"/>
      <c r="P8" s="644"/>
      <c r="Q8" s="644"/>
      <c r="R8" s="641"/>
      <c r="S8" s="645"/>
      <c r="T8" s="101"/>
      <c r="U8" s="646"/>
      <c r="V8" s="645"/>
      <c r="W8" s="646"/>
      <c r="X8" s="645"/>
      <c r="Y8" s="635"/>
      <c r="Z8" s="636"/>
      <c r="AA8" s="647"/>
      <c r="AB8" s="645"/>
      <c r="AC8" s="101"/>
      <c r="AD8" s="645"/>
      <c r="AE8" s="635"/>
      <c r="AF8" s="648"/>
      <c r="AG8" s="636"/>
      <c r="AH8" s="646"/>
    </row>
    <row r="9" spans="1:35" ht="13">
      <c r="A9" s="36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09"/>
      <c r="N9" s="41"/>
      <c r="O9" s="41"/>
      <c r="P9" s="136"/>
      <c r="Q9" s="136"/>
      <c r="R9" s="23"/>
      <c r="S9" s="645"/>
      <c r="T9" s="101"/>
      <c r="U9" s="646"/>
      <c r="V9" s="645"/>
      <c r="W9" s="646"/>
      <c r="X9" s="645"/>
      <c r="Y9" s="646"/>
      <c r="Z9" s="649"/>
      <c r="AA9" s="649"/>
      <c r="AB9" s="645"/>
      <c r="AC9" s="101"/>
      <c r="AD9" s="645"/>
      <c r="AE9" s="646"/>
      <c r="AF9" s="650"/>
      <c r="AG9" s="649"/>
      <c r="AH9" s="646"/>
      <c r="AI9" s="651"/>
    </row>
    <row r="10" spans="1:35" ht="13">
      <c r="A10" s="36" t="s">
        <v>368</v>
      </c>
      <c r="B10" s="101">
        <f>J31*B7</f>
        <v>11.414395060290163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>
        <f>$J31*L7</f>
        <v>11.414395060290163</v>
      </c>
      <c r="M10" s="645">
        <f>$J31*M7</f>
        <v>18199.096683082669</v>
      </c>
      <c r="N10" s="646"/>
      <c r="O10" s="646"/>
      <c r="P10" s="649">
        <f>$J31*P7</f>
        <v>145.64207116685355</v>
      </c>
      <c r="Q10" s="649"/>
      <c r="R10" s="101">
        <f>$J31*R7</f>
        <v>18344.738754249527</v>
      </c>
      <c r="S10" s="645">
        <f>$J31*S7</f>
        <v>97984.023473706387</v>
      </c>
      <c r="T10" s="101">
        <f>$J31*T7</f>
        <v>1435.989593306525</v>
      </c>
      <c r="U10" s="646"/>
      <c r="V10" s="645">
        <f>$J31*V7</f>
        <v>13082.32716436513</v>
      </c>
      <c r="W10" s="646">
        <f>$J31*W7</f>
        <v>415.53197721814223</v>
      </c>
      <c r="X10" s="645">
        <f>$J31*X7</f>
        <v>31.963998247549394</v>
      </c>
      <c r="Y10" s="646"/>
      <c r="Z10" s="649">
        <f>$J31*Z7</f>
        <v>463.7312623133796</v>
      </c>
      <c r="AA10" s="649">
        <f>$J31*AA7</f>
        <v>113413.56746915709</v>
      </c>
      <c r="AB10" s="645"/>
      <c r="AC10" s="101"/>
      <c r="AD10" s="645">
        <f>$J31*AD7</f>
        <v>188.10392392168194</v>
      </c>
      <c r="AE10" s="646"/>
      <c r="AF10" s="652">
        <f>$J31*AF7</f>
        <v>188.10392392168194</v>
      </c>
      <c r="AG10" s="649"/>
      <c r="AH10" s="646">
        <f>AH7*J31</f>
        <v>131957.82454238861</v>
      </c>
      <c r="AI10" s="295"/>
    </row>
    <row r="11" spans="1:35" ht="13">
      <c r="A11" s="36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645"/>
      <c r="N11" s="646"/>
      <c r="O11" s="646"/>
      <c r="P11" s="649"/>
      <c r="Q11" s="649"/>
      <c r="R11" s="101"/>
      <c r="S11" s="645"/>
      <c r="T11" s="101"/>
      <c r="U11" s="646"/>
      <c r="V11" s="645"/>
      <c r="W11" s="646"/>
      <c r="X11" s="645"/>
      <c r="Y11" s="646"/>
      <c r="Z11" s="649"/>
      <c r="AA11" s="649"/>
      <c r="AB11" s="645"/>
      <c r="AC11" s="101"/>
      <c r="AD11" s="645"/>
      <c r="AE11" s="646"/>
      <c r="AF11" s="653"/>
      <c r="AG11" s="649"/>
      <c r="AH11" s="646"/>
      <c r="AI11" s="23"/>
    </row>
    <row r="12" spans="1:35" ht="13">
      <c r="A12" s="36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645"/>
      <c r="N12" s="646"/>
      <c r="O12" s="646"/>
      <c r="P12" s="649"/>
      <c r="Q12" s="649"/>
      <c r="R12" s="101"/>
      <c r="S12" s="645"/>
      <c r="T12" s="101"/>
      <c r="U12" s="646"/>
      <c r="V12" s="645"/>
      <c r="W12" s="646"/>
      <c r="X12" s="645"/>
      <c r="Y12" s="646"/>
      <c r="Z12" s="649"/>
      <c r="AA12" s="649"/>
      <c r="AB12" s="645"/>
      <c r="AC12" s="101"/>
      <c r="AD12" s="645"/>
      <c r="AE12" s="646"/>
      <c r="AF12" s="653"/>
      <c r="AG12" s="649"/>
      <c r="AH12" s="646"/>
    </row>
    <row r="13" spans="1:35" ht="13">
      <c r="A13" s="36" t="s">
        <v>369</v>
      </c>
      <c r="B13" s="101">
        <f>$A$14*B10</f>
        <v>4.4776985371219302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>
        <f t="shared" ref="L13:AA13" si="0">$A$14*L10</f>
        <v>4.4776985371219302</v>
      </c>
      <c r="M13" s="645">
        <f t="shared" si="0"/>
        <v>7139.2367413563397</v>
      </c>
      <c r="N13" s="646"/>
      <c r="O13" s="646"/>
      <c r="P13" s="649">
        <f t="shared" si="0"/>
        <v>57.133232691058645</v>
      </c>
      <c r="Q13" s="649"/>
      <c r="R13" s="649">
        <f t="shared" si="0"/>
        <v>7196.3699740474003</v>
      </c>
      <c r="S13" s="645">
        <f t="shared" si="0"/>
        <v>38437.684717597534</v>
      </c>
      <c r="T13" s="101">
        <f t="shared" si="0"/>
        <v>563.31750104218747</v>
      </c>
      <c r="U13" s="646"/>
      <c r="V13" s="645">
        <f>$A$14*V10</f>
        <v>5132.0036582419743</v>
      </c>
      <c r="W13" s="646">
        <f>$A$14*W10</f>
        <v>163.00705527444399</v>
      </c>
      <c r="X13" s="645">
        <f t="shared" si="0"/>
        <v>12.539004251880304</v>
      </c>
      <c r="Y13" s="646"/>
      <c r="Z13" s="649">
        <f t="shared" si="0"/>
        <v>181.91492268408845</v>
      </c>
      <c r="AA13" s="649">
        <f t="shared" si="0"/>
        <v>44490.466859092099</v>
      </c>
      <c r="AB13" s="645"/>
      <c r="AC13" s="101"/>
      <c r="AD13" s="645">
        <f>$A$14*AD10</f>
        <v>73.790390162787915</v>
      </c>
      <c r="AE13" s="646"/>
      <c r="AF13" s="645">
        <f>$A$14*AF10</f>
        <v>73.790390162787915</v>
      </c>
      <c r="AG13" s="649"/>
      <c r="AH13" s="646">
        <f>L13+R13+AA13+AF13</f>
        <v>51765.104921839411</v>
      </c>
      <c r="AI13" s="23"/>
    </row>
    <row r="14" spans="1:35" ht="13">
      <c r="A14" s="654">
        <v>0.39228522523278636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645"/>
      <c r="N14" s="646"/>
      <c r="O14" s="646"/>
      <c r="P14" s="649"/>
      <c r="Q14" s="649"/>
      <c r="R14" s="101"/>
      <c r="S14" s="645"/>
      <c r="T14" s="101"/>
      <c r="U14" s="646"/>
      <c r="V14" s="645"/>
      <c r="W14" s="646"/>
      <c r="X14" s="645"/>
      <c r="Y14" s="646"/>
      <c r="Z14" s="649"/>
      <c r="AA14" s="649"/>
      <c r="AB14" s="645"/>
      <c r="AC14" s="101"/>
      <c r="AD14" s="645"/>
      <c r="AE14" s="646"/>
      <c r="AF14" s="653"/>
      <c r="AG14" s="649"/>
      <c r="AH14" s="646"/>
      <c r="AI14" s="23"/>
    </row>
    <row r="15" spans="1:35" ht="13">
      <c r="A15" s="36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645"/>
      <c r="N15" s="646"/>
      <c r="O15" s="646"/>
      <c r="P15" s="649"/>
      <c r="Q15" s="649"/>
      <c r="R15" s="101"/>
      <c r="S15" s="645"/>
      <c r="T15" s="101"/>
      <c r="U15" s="646"/>
      <c r="V15" s="645"/>
      <c r="W15" s="646"/>
      <c r="X15" s="645"/>
      <c r="Y15" s="646"/>
      <c r="Z15" s="649"/>
      <c r="AA15" s="649"/>
      <c r="AB15" s="645"/>
      <c r="AC15" s="101"/>
      <c r="AD15" s="645"/>
      <c r="AE15" s="646"/>
      <c r="AF15" s="653"/>
      <c r="AG15" s="649"/>
      <c r="AH15" s="646"/>
    </row>
    <row r="16" spans="1:35" ht="13">
      <c r="A16" s="36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645"/>
      <c r="N16" s="646"/>
      <c r="O16" s="646"/>
      <c r="P16" s="649"/>
      <c r="Q16" s="649"/>
      <c r="R16" s="101"/>
      <c r="S16" s="645"/>
      <c r="T16" s="101"/>
      <c r="U16" s="646"/>
      <c r="V16" s="645"/>
      <c r="W16" s="646"/>
      <c r="X16" s="645"/>
      <c r="Y16" s="646"/>
      <c r="Z16" s="649"/>
      <c r="AA16" s="649"/>
      <c r="AB16" s="645"/>
      <c r="AC16" s="101"/>
      <c r="AD16" s="645"/>
      <c r="AE16" s="646"/>
      <c r="AF16" s="653"/>
      <c r="AG16" s="649"/>
      <c r="AH16" s="646"/>
    </row>
    <row r="17" spans="1:35" ht="13">
      <c r="A17" s="36" t="s">
        <v>2</v>
      </c>
      <c r="B17" s="101">
        <f t="shared" ref="B17:AA17" si="1">B10+B13</f>
        <v>15.892093597412092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>
        <f t="shared" si="1"/>
        <v>15.892093597412092</v>
      </c>
      <c r="M17" s="645">
        <f t="shared" si="1"/>
        <v>25338.33342443901</v>
      </c>
      <c r="N17" s="646"/>
      <c r="O17" s="646"/>
      <c r="P17" s="649">
        <f t="shared" si="1"/>
        <v>202.77530385791221</v>
      </c>
      <c r="Q17" s="649"/>
      <c r="R17" s="101">
        <f t="shared" si="1"/>
        <v>25541.108728296927</v>
      </c>
      <c r="S17" s="645">
        <f t="shared" si="1"/>
        <v>136421.70819130391</v>
      </c>
      <c r="T17" s="101">
        <f t="shared" si="1"/>
        <v>1999.3070943487123</v>
      </c>
      <c r="U17" s="646"/>
      <c r="V17" s="645">
        <f t="shared" si="1"/>
        <v>18214.330822607102</v>
      </c>
      <c r="W17" s="646">
        <f t="shared" si="1"/>
        <v>578.53903249258622</v>
      </c>
      <c r="X17" s="645">
        <f t="shared" si="1"/>
        <v>44.503002499429698</v>
      </c>
      <c r="Y17" s="646"/>
      <c r="Z17" s="649">
        <f t="shared" si="1"/>
        <v>645.64618499746803</v>
      </c>
      <c r="AA17" s="649">
        <f t="shared" si="1"/>
        <v>157904.0343282492</v>
      </c>
      <c r="AB17" s="645"/>
      <c r="AC17" s="101"/>
      <c r="AD17" s="645">
        <f>AD10+AD13</f>
        <v>261.89431408446984</v>
      </c>
      <c r="AE17" s="646"/>
      <c r="AF17" s="652">
        <f>AF10+AF13</f>
        <v>261.89431408446984</v>
      </c>
      <c r="AG17" s="649"/>
      <c r="AH17" s="646">
        <f>AH10+AH13</f>
        <v>183722.92946422801</v>
      </c>
      <c r="AI17" s="23"/>
    </row>
    <row r="18" spans="1:35" ht="13">
      <c r="A18" s="36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645"/>
      <c r="N18" s="646"/>
      <c r="O18" s="646"/>
      <c r="P18" s="649"/>
      <c r="Q18" s="649"/>
      <c r="R18" s="101"/>
      <c r="S18" s="645"/>
      <c r="T18" s="101"/>
      <c r="U18" s="646"/>
      <c r="V18" s="645"/>
      <c r="W18" s="646"/>
      <c r="X18" s="645"/>
      <c r="Y18" s="646"/>
      <c r="Z18" s="649"/>
      <c r="AA18" s="649"/>
      <c r="AB18" s="645"/>
      <c r="AC18" s="101"/>
      <c r="AD18" s="645"/>
      <c r="AE18" s="646"/>
      <c r="AF18" s="655"/>
      <c r="AG18" s="649"/>
      <c r="AH18" s="646"/>
    </row>
    <row r="19" spans="1:35" ht="13">
      <c r="A19" s="36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645"/>
      <c r="N19" s="646"/>
      <c r="O19" s="646"/>
      <c r="P19" s="649"/>
      <c r="Q19" s="649"/>
      <c r="R19" s="101"/>
      <c r="S19" s="645"/>
      <c r="T19" s="101"/>
      <c r="U19" s="646"/>
      <c r="V19" s="645"/>
      <c r="W19" s="646"/>
      <c r="X19" s="645"/>
      <c r="Y19" s="646"/>
      <c r="Z19" s="649"/>
      <c r="AA19" s="649"/>
      <c r="AB19" s="645"/>
      <c r="AC19" s="101"/>
      <c r="AD19" s="645"/>
      <c r="AE19" s="646"/>
      <c r="AF19" s="653"/>
      <c r="AG19" s="649"/>
      <c r="AH19" s="646"/>
    </row>
    <row r="20" spans="1:35" ht="13">
      <c r="A20" s="36" t="s">
        <v>370</v>
      </c>
      <c r="B20" s="656">
        <f>B17/'Total Customers'!B39</f>
        <v>15.892093597412092</v>
      </c>
      <c r="C20" s="656"/>
      <c r="D20" s="656"/>
      <c r="E20" s="656"/>
      <c r="F20" s="656"/>
      <c r="G20" s="656"/>
      <c r="H20" s="656"/>
      <c r="I20" s="656"/>
      <c r="J20" s="656"/>
      <c r="K20" s="656"/>
      <c r="L20" s="656">
        <f>L17/'Total Customers'!L39</f>
        <v>15.892093597412092</v>
      </c>
      <c r="M20" s="657">
        <f>M17/'Total Customers'!M39</f>
        <v>39.467809072334909</v>
      </c>
      <c r="N20" s="658"/>
      <c r="O20" s="658"/>
      <c r="P20" s="659">
        <f>P17/'Total Customers'!P39</f>
        <v>101.3876519289561</v>
      </c>
      <c r="Q20" s="659"/>
      <c r="R20" s="656">
        <f>R17/'Total Customers'!R39</f>
        <v>39.660106720957963</v>
      </c>
      <c r="S20" s="657">
        <f>S17/'Total Customers'!S39</f>
        <v>169.67874153147253</v>
      </c>
      <c r="T20" s="656">
        <f>T17/'Total Customers'!T39</f>
        <v>44.429046541082499</v>
      </c>
      <c r="U20" s="658"/>
      <c r="V20" s="657">
        <f>V17/'Total Customers'!V39</f>
        <v>178.57187080987356</v>
      </c>
      <c r="W20" s="660">
        <f>W17/'Total Customers'!W39</f>
        <v>44.503002499429712</v>
      </c>
      <c r="X20" s="657">
        <f>X17/'Total Customers'!X39</f>
        <v>44.503002499429698</v>
      </c>
      <c r="Y20" s="689"/>
      <c r="Z20" s="659">
        <f>Z17/'Total Customers'!Z39</f>
        <v>215.21539499915602</v>
      </c>
      <c r="AA20" s="659">
        <f>AA17/'Total Customers'!AA39</f>
        <v>163.12400240521612</v>
      </c>
      <c r="AB20" s="657"/>
      <c r="AC20" s="656"/>
      <c r="AD20" s="657">
        <f>AD17/'Total Customers'!AD39</f>
        <v>87.29810469482328</v>
      </c>
      <c r="AE20" s="658"/>
      <c r="AF20" s="658">
        <f>AF17/'Total Customers'!AF39</f>
        <v>87.29810469482328</v>
      </c>
      <c r="AG20" s="659"/>
      <c r="AH20" s="660">
        <v>106.87779491810821</v>
      </c>
    </row>
    <row r="21" spans="1:35" ht="13">
      <c r="A21" s="36"/>
      <c r="B21" s="23"/>
      <c r="C21" s="23"/>
      <c r="D21" s="23"/>
      <c r="E21" s="33"/>
      <c r="F21" s="33"/>
      <c r="G21" s="33"/>
      <c r="H21" s="33"/>
      <c r="I21" s="33"/>
      <c r="J21" s="33"/>
      <c r="K21" s="33"/>
      <c r="L21" s="33"/>
      <c r="M21" s="111"/>
      <c r="N21" s="34"/>
      <c r="O21" s="34"/>
      <c r="P21" s="661"/>
      <c r="Q21" s="661"/>
      <c r="R21" s="33"/>
      <c r="S21" s="645"/>
      <c r="T21" s="101"/>
      <c r="U21" s="646"/>
      <c r="V21" s="645"/>
      <c r="W21" s="646"/>
      <c r="X21" s="645"/>
      <c r="Y21" s="660"/>
      <c r="Z21" s="662"/>
      <c r="AA21" s="662"/>
      <c r="AB21" s="645"/>
      <c r="AC21" s="101"/>
      <c r="AD21" s="645"/>
      <c r="AE21" s="646"/>
      <c r="AF21" s="653"/>
      <c r="AG21" s="662"/>
      <c r="AH21" s="646"/>
    </row>
    <row r="22" spans="1:35" ht="13">
      <c r="A22" s="36"/>
      <c r="B22" s="23"/>
      <c r="C22" s="23"/>
      <c r="D22" s="23"/>
      <c r="E22" s="33"/>
      <c r="F22" s="33"/>
      <c r="G22" s="33"/>
      <c r="H22" s="33"/>
      <c r="I22" s="33"/>
      <c r="J22" s="33"/>
      <c r="K22" s="33"/>
      <c r="L22" s="663" t="s">
        <v>371</v>
      </c>
      <c r="M22" s="109"/>
      <c r="N22" s="41"/>
      <c r="O22" s="34"/>
      <c r="P22" s="661"/>
      <c r="Q22" s="661"/>
      <c r="R22" s="664"/>
      <c r="S22" s="645">
        <f>'Total Customers'!S39</f>
        <v>804</v>
      </c>
      <c r="T22" s="101">
        <f>'Total Customers'!T39</f>
        <v>45</v>
      </c>
      <c r="U22" s="646"/>
      <c r="V22" s="645">
        <f>'Total Customers'!V39</f>
        <v>102</v>
      </c>
      <c r="W22" s="646">
        <f>'Total Customers'!W39</f>
        <v>13</v>
      </c>
      <c r="X22" s="645"/>
      <c r="Y22" s="646"/>
      <c r="Z22" s="649"/>
      <c r="AA22" s="662"/>
      <c r="AB22" s="109"/>
      <c r="AC22" s="23"/>
      <c r="AD22" s="109"/>
      <c r="AE22" s="41"/>
      <c r="AF22" s="652"/>
      <c r="AG22" s="662"/>
      <c r="AH22" s="646"/>
    </row>
    <row r="23" spans="1:35" ht="13">
      <c r="A23" s="36"/>
      <c r="B23" s="23"/>
      <c r="C23" s="23"/>
      <c r="D23" s="23"/>
      <c r="E23" s="33"/>
      <c r="F23" s="33"/>
      <c r="G23" s="33"/>
      <c r="H23" s="33"/>
      <c r="I23" s="33"/>
      <c r="J23" s="33"/>
      <c r="K23" s="33"/>
      <c r="L23" s="663" t="s">
        <v>372</v>
      </c>
      <c r="M23" s="665"/>
      <c r="N23" s="666"/>
      <c r="O23" s="34"/>
      <c r="P23" s="661"/>
      <c r="Q23" s="661"/>
      <c r="R23" s="664"/>
      <c r="S23" s="665">
        <f t="shared" ref="S23:W23" si="2">S20*S22</f>
        <v>136421.70819130391</v>
      </c>
      <c r="T23" s="667">
        <f t="shared" si="2"/>
        <v>1999.3070943487126</v>
      </c>
      <c r="U23" s="666"/>
      <c r="V23" s="665">
        <f t="shared" si="2"/>
        <v>18214.330822607102</v>
      </c>
      <c r="W23" s="666">
        <f t="shared" si="2"/>
        <v>578.53903249258622</v>
      </c>
      <c r="X23" s="665"/>
      <c r="Y23" s="666"/>
      <c r="Z23" s="668"/>
      <c r="AA23" s="662"/>
      <c r="AB23" s="665"/>
      <c r="AC23" s="667"/>
      <c r="AD23" s="665"/>
      <c r="AE23" s="666"/>
      <c r="AF23" s="652"/>
      <c r="AG23" s="662"/>
      <c r="AH23" s="646"/>
    </row>
    <row r="24" spans="1:35" ht="13">
      <c r="A24" s="36"/>
      <c r="B24" s="23"/>
      <c r="C24" s="23"/>
      <c r="D24" s="23"/>
      <c r="E24" s="33"/>
      <c r="F24" s="33"/>
      <c r="G24" s="33"/>
      <c r="H24" s="33"/>
      <c r="I24" s="33"/>
      <c r="J24" s="33"/>
      <c r="K24" s="33"/>
      <c r="L24" s="663" t="s">
        <v>373</v>
      </c>
      <c r="M24" s="669"/>
      <c r="N24" s="670"/>
      <c r="O24" s="34"/>
      <c r="P24" s="661"/>
      <c r="Q24" s="661"/>
      <c r="R24" s="664"/>
      <c r="S24" s="671"/>
      <c r="T24" s="672"/>
      <c r="U24" s="670">
        <f>SUM(S23:T23)/SUM(S22:T22)</f>
        <v>163.04006511855434</v>
      </c>
      <c r="V24" s="671"/>
      <c r="W24" s="670">
        <f>SUM(V23:W23)/SUM(V22:W22)</f>
        <v>163.4162596095625</v>
      </c>
      <c r="X24" s="671"/>
      <c r="Y24" s="670"/>
      <c r="Z24" s="673"/>
      <c r="AA24" s="662"/>
      <c r="AB24" s="671"/>
      <c r="AC24" s="674"/>
      <c r="AD24" s="671"/>
      <c r="AE24" s="670"/>
      <c r="AF24" s="652"/>
      <c r="AG24" s="662"/>
      <c r="AH24" s="646"/>
    </row>
    <row r="25" spans="1:35" ht="13">
      <c r="A25" s="36"/>
      <c r="B25" s="23"/>
      <c r="C25" s="23"/>
      <c r="D25" s="23"/>
      <c r="E25" s="33"/>
      <c r="F25" s="33"/>
      <c r="G25" s="33"/>
      <c r="H25" s="33"/>
      <c r="I25" s="33"/>
      <c r="J25" s="33"/>
      <c r="K25" s="33"/>
      <c r="L25" s="33"/>
      <c r="M25" s="111"/>
      <c r="N25" s="34"/>
      <c r="O25" s="34"/>
      <c r="P25" s="661"/>
      <c r="Q25" s="661"/>
      <c r="R25" s="33"/>
      <c r="S25" s="109"/>
      <c r="T25" s="23"/>
      <c r="U25" s="41"/>
      <c r="V25" s="109"/>
      <c r="W25" s="41"/>
      <c r="X25" s="109"/>
      <c r="Y25" s="41"/>
      <c r="Z25" s="136"/>
      <c r="AA25" s="661"/>
      <c r="AB25" s="109"/>
      <c r="AC25" s="23"/>
      <c r="AD25" s="111"/>
      <c r="AE25" s="34"/>
      <c r="AF25" s="632"/>
      <c r="AG25" s="661"/>
      <c r="AH25" s="41"/>
    </row>
    <row r="26" spans="1:35" ht="13">
      <c r="A26" s="645"/>
      <c r="B26" s="82"/>
      <c r="C26" s="12"/>
      <c r="D26" s="23"/>
      <c r="E26" s="12"/>
      <c r="F26" s="12"/>
      <c r="G26" s="12"/>
      <c r="H26" s="12"/>
      <c r="I26" s="12"/>
      <c r="J26" s="12"/>
      <c r="K26" s="33"/>
      <c r="L26" s="33"/>
      <c r="M26" s="111"/>
      <c r="N26" s="34"/>
      <c r="O26" s="34"/>
      <c r="P26" s="661"/>
      <c r="Q26" s="661"/>
      <c r="R26" s="33"/>
      <c r="S26" s="109"/>
      <c r="T26" s="23"/>
      <c r="U26" s="41"/>
      <c r="V26" s="109"/>
      <c r="W26" s="41"/>
      <c r="X26" s="109"/>
      <c r="Y26" s="34"/>
      <c r="Z26" s="661"/>
      <c r="AA26" s="661"/>
      <c r="AB26" s="109"/>
      <c r="AC26" s="23"/>
      <c r="AD26" s="111"/>
      <c r="AE26" s="34"/>
      <c r="AF26" s="76"/>
      <c r="AG26" s="661"/>
      <c r="AH26" s="41"/>
    </row>
    <row r="27" spans="1:35" ht="13">
      <c r="A27" s="36"/>
      <c r="B27" s="83"/>
      <c r="C27" s="12"/>
      <c r="D27" s="23"/>
      <c r="E27" s="12"/>
      <c r="F27" s="12"/>
      <c r="G27" s="12"/>
      <c r="H27" s="12"/>
      <c r="I27" s="12"/>
      <c r="J27" s="12"/>
      <c r="K27" s="23"/>
      <c r="L27" s="23"/>
      <c r="M27" s="109"/>
      <c r="N27" s="41"/>
      <c r="O27" s="41"/>
      <c r="P27" s="136"/>
      <c r="Q27" s="136"/>
      <c r="R27" s="23"/>
      <c r="S27" s="109"/>
      <c r="T27" s="23"/>
      <c r="U27" s="41"/>
      <c r="V27" s="109"/>
      <c r="W27" s="41"/>
      <c r="X27" s="109"/>
      <c r="Y27" s="41"/>
      <c r="Z27" s="136"/>
      <c r="AA27" s="136"/>
      <c r="AB27" s="109"/>
      <c r="AC27" s="23"/>
      <c r="AD27" s="109"/>
      <c r="AE27" s="41"/>
      <c r="AF27" s="76"/>
      <c r="AG27" s="136"/>
      <c r="AH27" s="41"/>
    </row>
    <row r="28" spans="1:35" ht="13">
      <c r="A28" s="36"/>
      <c r="B28" s="83"/>
      <c r="C28" s="12"/>
      <c r="D28" s="33"/>
      <c r="E28" s="12"/>
      <c r="F28" s="12"/>
      <c r="G28" s="12"/>
      <c r="H28" s="12"/>
      <c r="I28" s="12"/>
      <c r="J28" s="12"/>
      <c r="K28" s="33"/>
      <c r="L28" s="33"/>
      <c r="M28" s="111"/>
      <c r="N28" s="34"/>
      <c r="O28" s="34"/>
      <c r="P28" s="661"/>
      <c r="Q28" s="661"/>
      <c r="R28" s="33"/>
      <c r="S28" s="111"/>
      <c r="T28" s="33"/>
      <c r="U28" s="34"/>
      <c r="V28" s="111"/>
      <c r="W28" s="34"/>
      <c r="X28" s="111"/>
      <c r="Y28" s="34"/>
      <c r="Z28" s="661"/>
      <c r="AA28" s="661"/>
      <c r="AB28" s="111"/>
      <c r="AC28" s="33"/>
      <c r="AD28" s="111"/>
      <c r="AE28" s="34"/>
      <c r="AF28" s="76"/>
      <c r="AG28" s="661"/>
      <c r="AH28" s="34"/>
    </row>
    <row r="29" spans="1:35" ht="13.5" thickBot="1">
      <c r="A29" s="39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15"/>
      <c r="N29" s="80"/>
      <c r="O29" s="80"/>
      <c r="P29" s="128"/>
      <c r="Q29" s="128"/>
      <c r="R29" s="28"/>
      <c r="S29" s="15"/>
      <c r="T29" s="16"/>
      <c r="U29" s="17"/>
      <c r="V29" s="15"/>
      <c r="W29" s="17"/>
      <c r="X29" s="675"/>
      <c r="Y29" s="676"/>
      <c r="Z29" s="677"/>
      <c r="AA29" s="137"/>
      <c r="AB29" s="678"/>
      <c r="AC29" s="170"/>
      <c r="AD29" s="110"/>
      <c r="AE29" s="17"/>
      <c r="AF29" s="80"/>
      <c r="AG29" s="137"/>
      <c r="AH29" s="17"/>
    </row>
    <row r="30" spans="1:35">
      <c r="A30" s="243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12"/>
      <c r="N30" s="12"/>
      <c r="O30" s="241"/>
      <c r="P30" s="241"/>
      <c r="Q30" s="241"/>
      <c r="R30" s="241"/>
      <c r="S30" s="241"/>
      <c r="T30" s="301"/>
      <c r="U30" s="301"/>
      <c r="V30" s="241"/>
      <c r="W30" s="301"/>
      <c r="X30" s="301"/>
      <c r="Y30" s="301"/>
      <c r="Z30" s="301"/>
      <c r="AA30" s="301"/>
      <c r="AB30" s="301"/>
      <c r="AC30" s="301"/>
      <c r="AD30" s="301"/>
      <c r="AE30" s="301"/>
      <c r="AF30" s="301"/>
      <c r="AG30" s="301"/>
      <c r="AH30" s="258"/>
    </row>
    <row r="31" spans="1:35" ht="13">
      <c r="A31" s="645"/>
      <c r="B31" s="82" t="s">
        <v>374</v>
      </c>
      <c r="C31" s="12"/>
      <c r="D31" s="23"/>
      <c r="E31" s="12"/>
      <c r="F31" s="12"/>
      <c r="G31" s="12"/>
      <c r="H31" s="12"/>
      <c r="I31" s="12"/>
      <c r="J31" s="401">
        <v>13232269.330338214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76"/>
    </row>
    <row r="32" spans="1:35" ht="13">
      <c r="A32" s="36"/>
      <c r="B32" s="83" t="s">
        <v>375</v>
      </c>
      <c r="C32" s="12"/>
      <c r="D32" s="23"/>
      <c r="E32" s="12"/>
      <c r="F32" s="12"/>
      <c r="G32" s="12"/>
      <c r="H32" s="12"/>
      <c r="I32" s="12"/>
      <c r="J32" s="401">
        <v>21744.467099473291</v>
      </c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76"/>
    </row>
    <row r="33" spans="1:34" ht="13.5" thickBot="1">
      <c r="A33" s="147"/>
      <c r="B33" s="302" t="s">
        <v>376</v>
      </c>
      <c r="C33" s="28"/>
      <c r="D33" s="679"/>
      <c r="E33" s="28"/>
      <c r="F33" s="28"/>
      <c r="G33" s="28"/>
      <c r="H33" s="28"/>
      <c r="I33" s="28"/>
      <c r="J33" s="173">
        <f>(1+A14)*J32</f>
        <v>30274.500273157086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80"/>
    </row>
    <row r="34" spans="1:34">
      <c r="A34" s="243"/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  <c r="AC34" s="241"/>
      <c r="AD34" s="241"/>
      <c r="AE34" s="241"/>
      <c r="AF34" s="241"/>
      <c r="AG34" s="241"/>
      <c r="AH34" s="414"/>
    </row>
    <row r="35" spans="1:34" ht="13">
      <c r="A35" s="29" t="s">
        <v>271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76"/>
    </row>
    <row r="36" spans="1:34" ht="13">
      <c r="A36" s="11"/>
      <c r="B36" s="415" t="s">
        <v>377</v>
      </c>
      <c r="C36" s="12"/>
      <c r="D36" s="12"/>
      <c r="E36" s="12"/>
      <c r="F36" s="85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76"/>
    </row>
    <row r="37" spans="1:34" ht="13">
      <c r="A37" s="11"/>
      <c r="B37" s="415" t="s">
        <v>378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76"/>
    </row>
    <row r="38" spans="1:34" ht="13">
      <c r="A38" s="11"/>
      <c r="B38" s="415" t="s">
        <v>379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76"/>
    </row>
    <row r="39" spans="1:34" ht="13" thickBot="1">
      <c r="A39" s="15"/>
      <c r="B39" s="432" t="s">
        <v>269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80"/>
    </row>
    <row r="50" spans="13:13">
      <c r="M50" s="165"/>
    </row>
  </sheetData>
  <mergeCells count="11">
    <mergeCell ref="AD3:AE3"/>
    <mergeCell ref="A1:AH1"/>
    <mergeCell ref="B2:L2"/>
    <mergeCell ref="M2:R2"/>
    <mergeCell ref="S2:AA2"/>
    <mergeCell ref="AB2:AF2"/>
    <mergeCell ref="M3:N3"/>
    <mergeCell ref="S3:U3"/>
    <mergeCell ref="V3:W3"/>
    <mergeCell ref="X3:Y3"/>
    <mergeCell ref="AB3:AC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2" manualBreakCount="2">
    <brk id="21" max="38" man="1"/>
    <brk id="27" max="3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32C48-7B2C-4BE7-83D7-53DC932FCE39}">
  <sheetPr>
    <tabColor theme="9"/>
    <pageSetUpPr fitToPage="1"/>
  </sheetPr>
  <dimension ref="A1:L58"/>
  <sheetViews>
    <sheetView zoomScaleNormal="100" workbookViewId="0">
      <selection activeCell="L35" sqref="L35"/>
    </sheetView>
  </sheetViews>
  <sheetFormatPr defaultRowHeight="12.5"/>
  <cols>
    <col min="1" max="1" width="40.7265625" customWidth="1"/>
    <col min="2" max="2" width="10.26953125" customWidth="1"/>
    <col min="3" max="4" width="10.26953125" style="12" customWidth="1"/>
    <col min="5" max="6" width="9.26953125" style="12" customWidth="1"/>
    <col min="7" max="7" width="10.26953125" style="12" customWidth="1"/>
    <col min="8" max="10" width="10.26953125" customWidth="1"/>
  </cols>
  <sheetData>
    <row r="1" spans="1:10" ht="18.5" thickBot="1">
      <c r="A1" s="735" t="s">
        <v>354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342"/>
      <c r="B2" s="736" t="s">
        <v>0</v>
      </c>
      <c r="C2" s="737"/>
      <c r="D2" s="738"/>
      <c r="E2" s="737" t="s">
        <v>1</v>
      </c>
      <c r="F2" s="737"/>
      <c r="G2" s="738"/>
      <c r="H2" s="737" t="s">
        <v>351</v>
      </c>
      <c r="I2" s="737"/>
      <c r="J2" s="738"/>
    </row>
    <row r="3" spans="1:10" ht="13.5" thickBot="1">
      <c r="A3" s="591" t="s">
        <v>47</v>
      </c>
      <c r="B3" s="587" t="s">
        <v>185</v>
      </c>
      <c r="C3" s="588" t="s">
        <v>133</v>
      </c>
      <c r="D3" s="589" t="s">
        <v>128</v>
      </c>
      <c r="E3" s="588" t="s">
        <v>185</v>
      </c>
      <c r="F3" s="588" t="s">
        <v>133</v>
      </c>
      <c r="G3" s="589" t="s">
        <v>129</v>
      </c>
      <c r="H3" s="588" t="s">
        <v>185</v>
      </c>
      <c r="I3" s="588" t="s">
        <v>133</v>
      </c>
      <c r="J3" s="589" t="s">
        <v>2</v>
      </c>
    </row>
    <row r="4" spans="1:10" ht="13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 ht="13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 ht="13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 ht="13">
      <c r="A8" s="36" t="s">
        <v>53</v>
      </c>
      <c r="B8" s="115">
        <f>'School Class TSM Summary '!B8*Inputs!$C$12</f>
        <v>3117.8539777116753</v>
      </c>
      <c r="C8" s="134">
        <f>'School Class TSM Summary '!C8*Inputs!$C$12</f>
        <v>13606.123181662033</v>
      </c>
      <c r="D8" s="44">
        <f>'School Class TSM Summary '!D8*Inputs!$C$12</f>
        <v>9247.7993698727696</v>
      </c>
      <c r="E8" s="134"/>
      <c r="F8" s="134">
        <f>'School Class TSM Summary '!F8*Inputs!$C$12</f>
        <v>0</v>
      </c>
      <c r="G8" s="134">
        <f>'School Class TSM Summary '!G8*Inputs!$C$12</f>
        <v>0</v>
      </c>
      <c r="H8" s="115">
        <f>'School Class TSM Summary '!H8*Inputs!$C$12</f>
        <v>3117.8539777116753</v>
      </c>
      <c r="I8" s="134">
        <f>'School Class TSM Summary '!I8*Inputs!$C$12</f>
        <v>12777.680180921001</v>
      </c>
      <c r="J8" s="44">
        <f>'School Class TSM Summary '!J8*Inputs!$C$12</f>
        <v>8910.1631305024166</v>
      </c>
    </row>
    <row r="9" spans="1:10" ht="13">
      <c r="A9" s="36" t="s">
        <v>51</v>
      </c>
      <c r="B9" s="115">
        <f>'School Class TSM Summary '!B9*Inputs!$C$12</f>
        <v>537.37859769304339</v>
      </c>
      <c r="C9" s="134">
        <f>'School Class TSM Summary '!C9*Inputs!$C$12</f>
        <v>2742.8329690831247</v>
      </c>
      <c r="D9" s="44">
        <f>'School Class TSM Summary '!D9*Inputs!$C$12</f>
        <v>1826.372482063611</v>
      </c>
      <c r="E9" s="134"/>
      <c r="F9" s="134">
        <f>'School Class TSM Summary '!F9*Inputs!$C$12</f>
        <v>3396.422044371343</v>
      </c>
      <c r="G9" s="134">
        <f>'School Class TSM Summary '!G9*Inputs!$C$12</f>
        <v>3396.422044371343</v>
      </c>
      <c r="H9" s="115">
        <f>'School Class TSM Summary '!H9*Inputs!$C$12</f>
        <v>537.37859769304339</v>
      </c>
      <c r="I9" s="134">
        <f>'School Class TSM Summary '!I9*Inputs!$C$12</f>
        <v>2782.6283823359677</v>
      </c>
      <c r="J9" s="44">
        <f>'School Class TSM Summary '!J9*Inputs!$C$12</f>
        <v>1883.6948361330146</v>
      </c>
    </row>
    <row r="10" spans="1:10" ht="13">
      <c r="A10" s="36" t="s">
        <v>52</v>
      </c>
      <c r="B10" s="115">
        <f>'School Class TSM Summary '!B10*Inputs!$C$12</f>
        <v>300.903954567151</v>
      </c>
      <c r="C10" s="134">
        <f>'School Class TSM Summary '!C10*Inputs!$C$12</f>
        <v>723.5172830587037</v>
      </c>
      <c r="D10" s="44">
        <f>'School Class TSM Summary '!D10*Inputs!$C$12</f>
        <v>547.90339511134687</v>
      </c>
      <c r="E10" s="134"/>
      <c r="F10" s="134">
        <f>'School Class TSM Summary '!F10*Inputs!$C$12</f>
        <v>1044.5898264269988</v>
      </c>
      <c r="G10" s="134">
        <f>'School Class TSM Summary '!G10*Inputs!$C$12</f>
        <v>1044.5898264269988</v>
      </c>
      <c r="H10" s="115">
        <f>'School Class TSM Summary '!H10*Inputs!$C$12</f>
        <v>300.903954567151</v>
      </c>
      <c r="I10" s="134">
        <f>'School Class TSM Summary '!I10*Inputs!$C$12</f>
        <v>743.06659168484339</v>
      </c>
      <c r="J10" s="44">
        <f>'School Class TSM Summary '!J10*Inputs!$C$12</f>
        <v>566.03736754180693</v>
      </c>
    </row>
    <row r="11" spans="1:10" ht="13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 ht="13">
      <c r="A12" s="36" t="s">
        <v>35</v>
      </c>
      <c r="B12" s="114">
        <f t="shared" ref="B12:D12" si="0">SUM(B8:B10)</f>
        <v>3956.13652997187</v>
      </c>
      <c r="C12" s="30">
        <f t="shared" si="0"/>
        <v>17072.473433803862</v>
      </c>
      <c r="D12" s="40">
        <f t="shared" si="0"/>
        <v>11622.075247047727</v>
      </c>
      <c r="E12" s="30"/>
      <c r="F12" s="30">
        <f t="shared" ref="F12:J12" si="1">SUM(F8:F10)</f>
        <v>4441.011870798342</v>
      </c>
      <c r="G12" s="40">
        <f t="shared" si="1"/>
        <v>4441.011870798342</v>
      </c>
      <c r="H12" s="114">
        <f t="shared" si="1"/>
        <v>3956.13652997187</v>
      </c>
      <c r="I12" s="30">
        <f t="shared" si="1"/>
        <v>16303.375154941812</v>
      </c>
      <c r="J12" s="40">
        <f t="shared" si="1"/>
        <v>11359.895334177238</v>
      </c>
    </row>
    <row r="13" spans="1:10" ht="13">
      <c r="A13" s="38"/>
      <c r="B13" s="114"/>
      <c r="C13" s="30"/>
      <c r="D13" s="40"/>
      <c r="E13" s="30"/>
      <c r="F13" s="30"/>
      <c r="G13" s="4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30"/>
      <c r="F14" s="30"/>
      <c r="G14" s="40"/>
      <c r="H14" s="114"/>
      <c r="I14" s="30"/>
      <c r="J14" s="40"/>
    </row>
    <row r="15" spans="1:10" ht="13">
      <c r="A15" s="47">
        <f>Inputs!C3</f>
        <v>2.9094935671404847E-2</v>
      </c>
      <c r="B15" s="114"/>
      <c r="C15" s="30"/>
      <c r="D15" s="40"/>
      <c r="E15" s="30"/>
      <c r="F15" s="30"/>
      <c r="G15" s="4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30"/>
      <c r="F16" s="30"/>
      <c r="G16" s="40"/>
      <c r="H16" s="114"/>
      <c r="I16" s="30"/>
      <c r="J16" s="40"/>
    </row>
    <row r="17" spans="1:10" ht="13">
      <c r="A17" s="47">
        <f>Inputs!C4</f>
        <v>1.99475E-2</v>
      </c>
      <c r="B17" s="114"/>
      <c r="C17" s="30"/>
      <c r="D17" s="40"/>
      <c r="E17" s="30"/>
      <c r="F17" s="30"/>
      <c r="G17" s="40"/>
      <c r="H17" s="114"/>
      <c r="I17" s="30"/>
      <c r="J17" s="40"/>
    </row>
    <row r="18" spans="1:10" ht="13">
      <c r="A18" s="94" t="s">
        <v>92</v>
      </c>
      <c r="B18" s="114">
        <f t="shared" ref="B18:D20" si="2">(B8*(1+$A$15)*(1+$A$17))</f>
        <v>3272.5706435922725</v>
      </c>
      <c r="C18" s="30">
        <f t="shared" si="2"/>
        <v>14281.297204972923</v>
      </c>
      <c r="D18" s="40">
        <f t="shared" si="2"/>
        <v>9706.7011322604758</v>
      </c>
      <c r="E18" s="30"/>
      <c r="F18" s="30">
        <f t="shared" ref="F18:J18" si="3">(F8*(1+$A$15)*(1+$A$17))</f>
        <v>0</v>
      </c>
      <c r="G18" s="40">
        <f t="shared" si="3"/>
        <v>0</v>
      </c>
      <c r="H18" s="114">
        <f t="shared" si="3"/>
        <v>3272.5706435922725</v>
      </c>
      <c r="I18" s="30">
        <f t="shared" si="3"/>
        <v>13411.744537177876</v>
      </c>
      <c r="J18" s="40">
        <f t="shared" si="3"/>
        <v>9352.3104349811638</v>
      </c>
    </row>
    <row r="19" spans="1:10" ht="13">
      <c r="A19" s="94" t="s">
        <v>51</v>
      </c>
      <c r="B19" s="114">
        <f t="shared" si="2"/>
        <v>564.04483207893963</v>
      </c>
      <c r="C19" s="30">
        <f t="shared" si="2"/>
        <v>2878.9400398688381</v>
      </c>
      <c r="D19" s="40">
        <f t="shared" si="2"/>
        <v>1917.0022110698242</v>
      </c>
      <c r="E19" s="30"/>
      <c r="F19" s="30">
        <f t="shared" ref="F19:J19" si="4">(F9*(1+$A$15)*(1+$A$17))</f>
        <v>3564.9620396324972</v>
      </c>
      <c r="G19" s="40">
        <f t="shared" si="4"/>
        <v>3564.9620396324972</v>
      </c>
      <c r="H19" s="114">
        <f t="shared" si="4"/>
        <v>564.04483207893963</v>
      </c>
      <c r="I19" s="30">
        <f t="shared" si="4"/>
        <v>2920.7102132290606</v>
      </c>
      <c r="J19" s="40">
        <f t="shared" si="4"/>
        <v>1977.169061246308</v>
      </c>
    </row>
    <row r="20" spans="1:10" ht="13">
      <c r="A20" s="94" t="s">
        <v>52</v>
      </c>
      <c r="B20" s="114">
        <f t="shared" si="2"/>
        <v>315.83565340029679</v>
      </c>
      <c r="C20" s="30">
        <f t="shared" si="2"/>
        <v>759.42024148525218</v>
      </c>
      <c r="D20" s="40">
        <f t="shared" si="2"/>
        <v>575.09189948720064</v>
      </c>
      <c r="E20" s="30"/>
      <c r="F20" s="30">
        <f t="shared" ref="F20:J20" si="5">(F10*(1+$A$15)*(1+$A$17))</f>
        <v>1096.425305674232</v>
      </c>
      <c r="G20" s="40">
        <f t="shared" si="5"/>
        <v>1096.425305674232</v>
      </c>
      <c r="H20" s="114">
        <f t="shared" si="5"/>
        <v>315.83565340029679</v>
      </c>
      <c r="I20" s="30">
        <f t="shared" si="5"/>
        <v>779.93964167838919</v>
      </c>
      <c r="J20" s="40">
        <f t="shared" si="5"/>
        <v>594.12573052992025</v>
      </c>
    </row>
    <row r="21" spans="1:10" ht="13">
      <c r="A21" s="36"/>
      <c r="B21" s="119"/>
      <c r="C21" s="73"/>
      <c r="D21" s="75"/>
      <c r="E21" s="73"/>
      <c r="F21" s="73"/>
      <c r="G21" s="75"/>
      <c r="H21" s="119"/>
      <c r="I21" s="73"/>
      <c r="J21" s="75"/>
    </row>
    <row r="22" spans="1:10" ht="13">
      <c r="A22" s="36" t="s">
        <v>35</v>
      </c>
      <c r="B22" s="119">
        <f t="shared" ref="B22:D22" si="6">B18+B19+B20</f>
        <v>4152.4511290715091</v>
      </c>
      <c r="C22" s="73">
        <f t="shared" si="6"/>
        <v>17919.657486327014</v>
      </c>
      <c r="D22" s="75">
        <f t="shared" si="6"/>
        <v>12198.795242817501</v>
      </c>
      <c r="E22" s="73"/>
      <c r="F22" s="73">
        <f t="shared" ref="F22:J22" si="7">F18+F19+F20</f>
        <v>4661.387345306729</v>
      </c>
      <c r="G22" s="75">
        <f t="shared" si="7"/>
        <v>4661.387345306729</v>
      </c>
      <c r="H22" s="119">
        <f t="shared" si="7"/>
        <v>4152.4511290715091</v>
      </c>
      <c r="I22" s="73">
        <f t="shared" si="7"/>
        <v>17112.394392085323</v>
      </c>
      <c r="J22" s="75">
        <f t="shared" si="7"/>
        <v>11923.605226757392</v>
      </c>
    </row>
    <row r="23" spans="1:10" ht="13">
      <c r="A23" s="36"/>
      <c r="B23" s="114"/>
      <c r="C23" s="30"/>
      <c r="D23" s="40"/>
      <c r="E23" s="30"/>
      <c r="F23" s="30"/>
      <c r="G23" s="40"/>
      <c r="H23" s="114"/>
      <c r="I23" s="30"/>
      <c r="J23" s="40"/>
    </row>
    <row r="24" spans="1:10" ht="13">
      <c r="A24" s="724" t="str">
        <f>'Resid TSM Sum by Rate Schedule'!A25</f>
        <v>Annualized Transformer Cost at 8.05%</v>
      </c>
      <c r="B24" s="119">
        <f>B18*Inputs!$C$5</f>
        <v>263.37210844279838</v>
      </c>
      <c r="C24" s="73">
        <f>C18*Inputs!$C$5</f>
        <v>1149.3396983000557</v>
      </c>
      <c r="D24" s="75">
        <f>D18*Inputs!$C$5</f>
        <v>781.18232473702074</v>
      </c>
      <c r="E24" s="73"/>
      <c r="F24" s="73">
        <f>F18*Inputs!$C$5</f>
        <v>0</v>
      </c>
      <c r="G24" s="75">
        <f>G18*Inputs!$C$5</f>
        <v>0</v>
      </c>
      <c r="H24" s="119">
        <f>H18*Inputs!$C$5</f>
        <v>263.37210844279838</v>
      </c>
      <c r="I24" s="73">
        <f>I18*Inputs!$C$5</f>
        <v>1079.3592625934477</v>
      </c>
      <c r="J24" s="75">
        <f>J18*Inputs!$C$5</f>
        <v>752.66143540565679</v>
      </c>
    </row>
    <row r="25" spans="1:10" ht="13">
      <c r="A25" s="724" t="str">
        <f>'Resid TSM Sum by Rate Schedule'!A26</f>
        <v>Annualized Services Cost at 7.08%</v>
      </c>
      <c r="B25" s="119">
        <f>B19*Inputs!$C$6</f>
        <v>39.920306800212614</v>
      </c>
      <c r="C25" s="73">
        <f>C19*Inputs!$C$6</f>
        <v>203.757153890377</v>
      </c>
      <c r="D25" s="75">
        <f>D19*Inputs!$C$6</f>
        <v>135.67594639690469</v>
      </c>
      <c r="E25" s="73"/>
      <c r="F25" s="73">
        <f>F19*Inputs!$C$6</f>
        <v>252.31040204499865</v>
      </c>
      <c r="G25" s="75">
        <f>G19*Inputs!$C$6</f>
        <v>252.31040204499865</v>
      </c>
      <c r="H25" s="119">
        <f>H19*Inputs!$C$6</f>
        <v>39.920306800212614</v>
      </c>
      <c r="I25" s="73">
        <f>I19*Inputs!$C$6</f>
        <v>206.71344041372339</v>
      </c>
      <c r="J25" s="75">
        <f>J19*Inputs!$C$6</f>
        <v>139.9342588246507</v>
      </c>
    </row>
    <row r="26" spans="1:10" ht="16">
      <c r="A26" s="724" t="str">
        <f>'Resid TSM Sum by Rate Schedule'!A27</f>
        <v>Annualized Meter Cost at 10.78%</v>
      </c>
      <c r="B26" s="459">
        <f>B20*Inputs!$C$7</f>
        <v>34.036486943978687</v>
      </c>
      <c r="C26" s="458">
        <f>C20*Inputs!$C$7</f>
        <v>81.840022986719703</v>
      </c>
      <c r="D26" s="457">
        <f>D20*Inputs!$C$7</f>
        <v>61.975612055664186</v>
      </c>
      <c r="E26" s="458"/>
      <c r="F26" s="458">
        <f>F20*Inputs!$C$7</f>
        <v>118.15786216615206</v>
      </c>
      <c r="G26" s="457">
        <f>G20*Inputs!$C$7</f>
        <v>118.15786216615206</v>
      </c>
      <c r="H26" s="459">
        <f>H20*Inputs!$C$7</f>
        <v>34.036486943978687</v>
      </c>
      <c r="I26" s="458">
        <f>I20*Inputs!$C$7</f>
        <v>84.051325888253771</v>
      </c>
      <c r="J26" s="457">
        <f>J20*Inputs!$C$7</f>
        <v>64.026820444599082</v>
      </c>
    </row>
    <row r="27" spans="1:10" ht="13">
      <c r="A27" s="86" t="s">
        <v>275</v>
      </c>
      <c r="B27" s="119">
        <f>SUM(B24:B26)</f>
        <v>337.32890218698964</v>
      </c>
      <c r="C27" s="73">
        <f t="shared" ref="C27:D27" si="8">SUM(C24:C26)</f>
        <v>1434.9368751771524</v>
      </c>
      <c r="D27" s="75">
        <f t="shared" si="8"/>
        <v>978.83388318958964</v>
      </c>
      <c r="E27" s="73"/>
      <c r="F27" s="73">
        <f t="shared" ref="F27:G27" si="9">SUM(F24:F26)</f>
        <v>370.46826421115071</v>
      </c>
      <c r="G27" s="75">
        <f t="shared" si="9"/>
        <v>370.46826421115071</v>
      </c>
      <c r="H27" s="119">
        <f>SUM(H24:H26)</f>
        <v>337.32890218698964</v>
      </c>
      <c r="I27" s="73">
        <f t="shared" ref="I27:J27" si="10">SUM(I24:I26)</f>
        <v>1370.124028895425</v>
      </c>
      <c r="J27" s="75">
        <f t="shared" si="10"/>
        <v>956.6225146749066</v>
      </c>
    </row>
    <row r="28" spans="1:10" ht="13">
      <c r="A28" s="47"/>
      <c r="B28" s="114"/>
      <c r="C28" s="30"/>
      <c r="D28" s="40"/>
      <c r="E28" s="30"/>
      <c r="F28" s="30"/>
      <c r="G28" s="40"/>
      <c r="H28" s="114"/>
      <c r="I28" s="30"/>
      <c r="J28" s="40"/>
    </row>
    <row r="29" spans="1:10" ht="13">
      <c r="A29" s="36" t="s">
        <v>50</v>
      </c>
      <c r="B29" s="114">
        <f>'School Class TSM Summary '!B29*Inputs!$C$13</f>
        <v>41.900256163099392</v>
      </c>
      <c r="C29" s="30">
        <f>'School Class TSM Summary '!C29*Inputs!$C$13</f>
        <v>179.88140915034953</v>
      </c>
      <c r="D29" s="40">
        <f>'School Class TSM Summary '!D29*Inputs!$C$13</f>
        <v>122.54434686213446</v>
      </c>
      <c r="E29" s="30"/>
      <c r="F29" s="30">
        <f>'School Class TSM Summary '!F29*Inputs!$C$13</f>
        <v>46.826609868846418</v>
      </c>
      <c r="G29" s="40">
        <f>'School Class TSM Summary '!G29*Inputs!$C$13</f>
        <v>46.826609868846418</v>
      </c>
      <c r="H29" s="114">
        <f>'School Class TSM Summary '!H29*Inputs!$C$13</f>
        <v>41.900256163099392</v>
      </c>
      <c r="I29" s="30">
        <f>'School Class TSM Summary '!I29*Inputs!$C$13</f>
        <v>171.78003334270383</v>
      </c>
      <c r="J29" s="40">
        <f>'School Class TSM Summary '!J29*Inputs!$C$13</f>
        <v>119.77989978131517</v>
      </c>
    </row>
    <row r="30" spans="1:10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7">
        <f>-Inputs!$C$18</f>
        <v>-3.0284021924274875</v>
      </c>
      <c r="E30" s="30"/>
      <c r="F30" s="545">
        <f>-Inputs!$C$18</f>
        <v>-3.0284021924274875</v>
      </c>
      <c r="G30" s="547">
        <f>-Inputs!$C$18</f>
        <v>-3.0284021924274875</v>
      </c>
      <c r="H30" s="546">
        <f>-Inputs!$C$18</f>
        <v>-3.0284021924274875</v>
      </c>
      <c r="I30" s="545">
        <f>-Inputs!$C$18</f>
        <v>-3.0284021924274875</v>
      </c>
      <c r="J30" s="547">
        <f>-Inputs!$C$18</f>
        <v>-3.0284021924274875</v>
      </c>
    </row>
    <row r="31" spans="1:10" ht="13">
      <c r="A31" s="36" t="s">
        <v>328</v>
      </c>
      <c r="B31" s="114">
        <f>B29+B30</f>
        <v>38.871853970671907</v>
      </c>
      <c r="C31" s="30">
        <f t="shared" ref="C31:D31" si="11">C29+C30</f>
        <v>176.85300695792205</v>
      </c>
      <c r="D31" s="40">
        <f t="shared" si="11"/>
        <v>119.51594466970697</v>
      </c>
      <c r="E31" s="30"/>
      <c r="F31" s="30">
        <f t="shared" ref="F31:G31" si="12">F29+F30</f>
        <v>43.798207676418933</v>
      </c>
      <c r="G31" s="40">
        <f t="shared" si="12"/>
        <v>43.798207676418933</v>
      </c>
      <c r="H31" s="114">
        <f>H29+H30</f>
        <v>38.871853970671907</v>
      </c>
      <c r="I31" s="30">
        <f t="shared" ref="I31:J31" si="13">I29+I30</f>
        <v>168.75163115027635</v>
      </c>
      <c r="J31" s="40">
        <f t="shared" si="13"/>
        <v>116.75149758888767</v>
      </c>
    </row>
    <row r="32" spans="1:10" ht="13">
      <c r="A32" s="11"/>
      <c r="B32" s="10"/>
      <c r="C32" s="27"/>
      <c r="D32" s="81"/>
      <c r="E32" s="27"/>
      <c r="F32" s="27"/>
      <c r="G32" s="81"/>
      <c r="H32" s="10"/>
      <c r="I32" s="27"/>
      <c r="J32" s="81"/>
    </row>
    <row r="33" spans="1:12" ht="13">
      <c r="A33" s="36" t="s">
        <v>57</v>
      </c>
      <c r="B33" s="161">
        <f>'School Class TSM Summary '!B31*Inputs!$C$14</f>
        <v>56.765091109671744</v>
      </c>
      <c r="C33" s="162">
        <f>'School Class TSM Summary '!C31*Inputs!$C$14</f>
        <v>481.19701669211463</v>
      </c>
      <c r="D33" s="290">
        <f>'School Class TSM Summary '!D31*Inputs!$C$14</f>
        <v>304.82742398059213</v>
      </c>
      <c r="E33" s="162"/>
      <c r="F33" s="162">
        <f>'School Class TSM Summary '!F31*Inputs!$C$14</f>
        <v>481.55031066335579</v>
      </c>
      <c r="G33" s="290">
        <f>'School Class TSM Summary '!G31*Inputs!$C$14</f>
        <v>481.55031066335579</v>
      </c>
      <c r="H33" s="161">
        <f>'School Class TSM Summary '!H31*Inputs!$C$14</f>
        <v>56.765091109671744</v>
      </c>
      <c r="I33" s="162">
        <f>'School Class TSM Summary '!I31*Inputs!$C$14</f>
        <v>481.21852788334604</v>
      </c>
      <c r="J33" s="290">
        <f>'School Class TSM Summary '!J31*Inputs!$C$14</f>
        <v>311.27955907606429</v>
      </c>
    </row>
    <row r="34" spans="1:12" ht="13.5" thickBot="1">
      <c r="A34" s="11"/>
      <c r="B34" s="116"/>
      <c r="C34" s="87"/>
      <c r="D34" s="88"/>
      <c r="E34" s="87"/>
      <c r="F34" s="87"/>
      <c r="G34" s="88"/>
      <c r="H34" s="116"/>
      <c r="I34" s="87"/>
      <c r="J34" s="88"/>
    </row>
    <row r="35" spans="1:12" ht="13.5" thickBot="1">
      <c r="A35" s="278" t="s">
        <v>126</v>
      </c>
      <c r="B35" s="279">
        <f t="shared" ref="B35:D35" si="14">B27+B31+B33</f>
        <v>432.96584726733329</v>
      </c>
      <c r="C35" s="280">
        <f t="shared" si="14"/>
        <v>2092.9868988271892</v>
      </c>
      <c r="D35" s="291">
        <f t="shared" si="14"/>
        <v>1403.1772518398886</v>
      </c>
      <c r="E35" s="279"/>
      <c r="F35" s="280">
        <f t="shared" ref="F35:J35" si="15">F27+F31+F33</f>
        <v>895.81678255092538</v>
      </c>
      <c r="G35" s="291">
        <f t="shared" si="15"/>
        <v>895.81678255092538</v>
      </c>
      <c r="H35" s="279">
        <f t="shared" si="15"/>
        <v>432.96584726733329</v>
      </c>
      <c r="I35" s="280">
        <f t="shared" si="15"/>
        <v>2020.0941879290474</v>
      </c>
      <c r="J35" s="291">
        <f t="shared" si="15"/>
        <v>1384.6535713398584</v>
      </c>
      <c r="L35" s="31"/>
    </row>
    <row r="36" spans="1:12" ht="13" thickBot="1">
      <c r="B36" s="18"/>
      <c r="C36" s="13"/>
      <c r="D36" s="13"/>
      <c r="E36" s="13"/>
      <c r="F36" s="13"/>
      <c r="G36" s="13"/>
    </row>
    <row r="37" spans="1:12" ht="13.5" thickBot="1">
      <c r="A37" s="594" t="s">
        <v>356</v>
      </c>
      <c r="B37" s="595"/>
      <c r="C37" s="596"/>
      <c r="D37" s="596"/>
      <c r="E37" s="596"/>
      <c r="F37" s="596"/>
      <c r="G37" s="596"/>
      <c r="H37" s="596"/>
      <c r="I37" s="596"/>
      <c r="J37" s="697">
        <f>'School Class TSM Summary '!J35</f>
        <v>7.6885790392590145</v>
      </c>
    </row>
    <row r="38" spans="1:12">
      <c r="A38" t="s">
        <v>3</v>
      </c>
    </row>
    <row r="46" spans="1:12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C00000"/>
  </sheetPr>
  <dimension ref="A1:CC538"/>
  <sheetViews>
    <sheetView zoomScaleNormal="100" workbookViewId="0">
      <pane xSplit="1" topLeftCell="B1" activePane="topRight" state="frozen"/>
      <selection pane="topRight" activeCell="B11" sqref="B11"/>
    </sheetView>
  </sheetViews>
  <sheetFormatPr defaultRowHeight="12.5"/>
  <cols>
    <col min="1" max="1" width="25" bestFit="1" customWidth="1"/>
    <col min="2" max="2" width="10.26953125" bestFit="1" customWidth="1"/>
    <col min="3" max="4" width="10.26953125" customWidth="1"/>
    <col min="5" max="5" width="10.1796875" customWidth="1"/>
    <col min="6" max="6" width="10.26953125" bestFit="1" customWidth="1"/>
    <col min="7" max="8" width="10.1796875" customWidth="1"/>
    <col min="9" max="9" width="8.7265625" bestFit="1" customWidth="1"/>
    <col min="10" max="12" width="8.7265625" customWidth="1"/>
    <col min="13" max="13" width="9.7265625" bestFit="1" customWidth="1"/>
    <col min="14" max="15" width="8.7265625" customWidth="1"/>
    <col min="16" max="16" width="8.453125" bestFit="1" customWidth="1"/>
    <col min="17" max="19" width="7.7265625" customWidth="1"/>
    <col min="20" max="20" width="9.7265625" bestFit="1" customWidth="1"/>
    <col min="21" max="22" width="7.7265625" customWidth="1"/>
    <col min="23" max="23" width="7.7265625" bestFit="1" customWidth="1"/>
    <col min="24" max="26" width="7.7265625" customWidth="1"/>
    <col min="27" max="27" width="9.7265625" bestFit="1" customWidth="1"/>
    <col min="28" max="33" width="7.7265625" customWidth="1"/>
    <col min="34" max="34" width="9.7265625" bestFit="1" customWidth="1"/>
    <col min="35" max="35" width="7.7265625" customWidth="1"/>
    <col min="36" max="36" width="8.7265625" bestFit="1" customWidth="1"/>
    <col min="37" max="40" width="8.7265625" customWidth="1"/>
    <col min="41" max="41" width="9.7265625" bestFit="1" customWidth="1"/>
    <col min="42" max="54" width="8.7265625" customWidth="1"/>
    <col min="55" max="55" width="9.7265625" bestFit="1" customWidth="1"/>
    <col min="56" max="57" width="8.7265625" customWidth="1"/>
    <col min="58" max="58" width="8.81640625" bestFit="1" customWidth="1"/>
    <col min="59" max="61" width="8.81640625" customWidth="1"/>
    <col min="62" max="62" width="9.7265625" bestFit="1" customWidth="1"/>
    <col min="63" max="64" width="8.81640625" customWidth="1"/>
    <col min="65" max="65" width="9.453125" bestFit="1" customWidth="1"/>
    <col min="66" max="68" width="9.453125" customWidth="1"/>
    <col min="69" max="69" width="9.7265625" bestFit="1" customWidth="1"/>
    <col min="70" max="71" width="9.453125" customWidth="1"/>
    <col min="72" max="72" width="10.26953125" bestFit="1" customWidth="1"/>
    <col min="73" max="75" width="9.453125" customWidth="1"/>
    <col min="76" max="76" width="10.26953125" bestFit="1" customWidth="1"/>
    <col min="77" max="77" width="11.1796875" bestFit="1" customWidth="1"/>
    <col min="78" max="78" width="10.26953125" bestFit="1" customWidth="1"/>
    <col min="80" max="80" width="10.1796875" bestFit="1" customWidth="1"/>
  </cols>
  <sheetData>
    <row r="1" spans="1:78" ht="18.5" thickBot="1">
      <c r="A1" s="735" t="s">
        <v>210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35"/>
      <c r="X1" s="735"/>
      <c r="Y1" s="735"/>
      <c r="Z1" s="735"/>
      <c r="AA1" s="735"/>
      <c r="AB1" s="735"/>
      <c r="AC1" s="735"/>
      <c r="AD1" s="735"/>
      <c r="AE1" s="735"/>
      <c r="AF1" s="735"/>
      <c r="AG1" s="735"/>
      <c r="AH1" s="735"/>
      <c r="AI1" s="735"/>
      <c r="AJ1" s="735"/>
      <c r="AK1" s="735"/>
      <c r="AL1" s="735"/>
      <c r="AM1" s="735"/>
      <c r="AN1" s="735"/>
      <c r="AO1" s="735"/>
      <c r="AP1" s="735"/>
      <c r="AQ1" s="735"/>
      <c r="AR1" s="735"/>
      <c r="AS1" s="735"/>
      <c r="AT1" s="735"/>
      <c r="AU1" s="735"/>
      <c r="AV1" s="735"/>
      <c r="AW1" s="735"/>
      <c r="AX1" s="735"/>
      <c r="AY1" s="735"/>
      <c r="AZ1" s="735"/>
      <c r="BA1" s="735"/>
      <c r="BB1" s="735"/>
      <c r="BC1" s="735"/>
      <c r="BD1" s="735"/>
      <c r="BE1" s="735"/>
      <c r="BF1" s="735"/>
      <c r="BG1" s="735"/>
      <c r="BH1" s="735"/>
      <c r="BI1" s="735"/>
      <c r="BJ1" s="735"/>
      <c r="BK1" s="735"/>
      <c r="BL1" s="735"/>
      <c r="BM1" s="735"/>
      <c r="BN1" s="735"/>
      <c r="BO1" s="735"/>
      <c r="BP1" s="735"/>
      <c r="BQ1" s="735"/>
      <c r="BR1" s="735"/>
      <c r="BS1" s="735"/>
      <c r="BT1" s="735"/>
      <c r="BU1" s="735"/>
      <c r="BV1" s="735"/>
      <c r="BW1" s="735"/>
      <c r="BX1" s="735"/>
      <c r="BY1" s="735"/>
      <c r="BZ1" s="735"/>
    </row>
    <row r="2" spans="1:78" ht="13.5" thickBot="1">
      <c r="A2" s="103"/>
      <c r="B2" s="736" t="s">
        <v>28</v>
      </c>
      <c r="C2" s="737"/>
      <c r="D2" s="737"/>
      <c r="E2" s="737"/>
      <c r="F2" s="737"/>
      <c r="G2" s="739"/>
      <c r="H2" s="740"/>
      <c r="I2" s="736" t="s">
        <v>29</v>
      </c>
      <c r="J2" s="737"/>
      <c r="K2" s="737"/>
      <c r="L2" s="737"/>
      <c r="M2" s="737"/>
      <c r="N2" s="737"/>
      <c r="O2" s="738"/>
      <c r="P2" s="736" t="s">
        <v>30</v>
      </c>
      <c r="Q2" s="737"/>
      <c r="R2" s="737"/>
      <c r="S2" s="737"/>
      <c r="T2" s="737"/>
      <c r="U2" s="737"/>
      <c r="V2" s="738"/>
      <c r="W2" s="736" t="s">
        <v>31</v>
      </c>
      <c r="X2" s="737"/>
      <c r="Y2" s="737"/>
      <c r="Z2" s="737"/>
      <c r="AA2" s="737"/>
      <c r="AB2" s="737"/>
      <c r="AC2" s="738"/>
      <c r="AD2" s="736" t="s">
        <v>68</v>
      </c>
      <c r="AE2" s="737"/>
      <c r="AF2" s="737"/>
      <c r="AG2" s="737"/>
      <c r="AH2" s="737"/>
      <c r="AI2" s="737"/>
      <c r="AJ2" s="738"/>
      <c r="AK2" s="736" t="s">
        <v>66</v>
      </c>
      <c r="AL2" s="737"/>
      <c r="AM2" s="737"/>
      <c r="AN2" s="737"/>
      <c r="AO2" s="737"/>
      <c r="AP2" s="737"/>
      <c r="AQ2" s="738"/>
      <c r="AR2" s="736" t="s">
        <v>287</v>
      </c>
      <c r="AS2" s="737"/>
      <c r="AT2" s="737"/>
      <c r="AU2" s="737"/>
      <c r="AV2" s="737"/>
      <c r="AW2" s="737"/>
      <c r="AX2" s="738"/>
      <c r="AY2" s="736" t="s">
        <v>67</v>
      </c>
      <c r="AZ2" s="737"/>
      <c r="BA2" s="737"/>
      <c r="BB2" s="737"/>
      <c r="BC2" s="737"/>
      <c r="BD2" s="737"/>
      <c r="BE2" s="738"/>
      <c r="BF2" s="736" t="s">
        <v>89</v>
      </c>
      <c r="BG2" s="737"/>
      <c r="BH2" s="737"/>
      <c r="BI2" s="737"/>
      <c r="BJ2" s="737"/>
      <c r="BK2" s="737"/>
      <c r="BL2" s="738"/>
      <c r="BM2" s="736" t="s">
        <v>88</v>
      </c>
      <c r="BN2" s="737"/>
      <c r="BO2" s="737"/>
      <c r="BP2" s="737"/>
      <c r="BQ2" s="737"/>
      <c r="BR2" s="737"/>
      <c r="BS2" s="738"/>
      <c r="BT2" s="736" t="s">
        <v>98</v>
      </c>
      <c r="BU2" s="737"/>
      <c r="BV2" s="737"/>
      <c r="BW2" s="737"/>
      <c r="BX2" s="737"/>
      <c r="BY2" s="737"/>
      <c r="BZ2" s="738"/>
    </row>
    <row r="3" spans="1:78" ht="13.5" thickBot="1">
      <c r="A3" s="160"/>
      <c r="B3" s="736" t="s">
        <v>0</v>
      </c>
      <c r="C3" s="737"/>
      <c r="D3" s="737"/>
      <c r="E3" s="737"/>
      <c r="F3" s="737"/>
      <c r="G3" s="103"/>
      <c r="H3" s="103"/>
      <c r="I3" s="736" t="s">
        <v>0</v>
      </c>
      <c r="J3" s="737"/>
      <c r="K3" s="737"/>
      <c r="L3" s="737"/>
      <c r="M3" s="737"/>
      <c r="N3" s="263"/>
      <c r="O3" s="103"/>
      <c r="P3" s="736" t="s">
        <v>0</v>
      </c>
      <c r="Q3" s="737"/>
      <c r="R3" s="737"/>
      <c r="S3" s="737"/>
      <c r="T3" s="737"/>
      <c r="U3" s="263"/>
      <c r="V3" s="103"/>
      <c r="W3" s="736" t="s">
        <v>0</v>
      </c>
      <c r="X3" s="737"/>
      <c r="Y3" s="737"/>
      <c r="Z3" s="737"/>
      <c r="AA3" s="737"/>
      <c r="AB3" s="103"/>
      <c r="AC3" s="103"/>
      <c r="AD3" s="736" t="s">
        <v>0</v>
      </c>
      <c r="AE3" s="737"/>
      <c r="AF3" s="737"/>
      <c r="AG3" s="737"/>
      <c r="AH3" s="737"/>
      <c r="AI3" s="103"/>
      <c r="AJ3" s="103"/>
      <c r="AK3" s="736" t="s">
        <v>0</v>
      </c>
      <c r="AL3" s="737"/>
      <c r="AM3" s="737"/>
      <c r="AN3" s="737"/>
      <c r="AO3" s="737"/>
      <c r="AP3" s="103"/>
      <c r="AQ3" s="265"/>
      <c r="AR3" s="736" t="s">
        <v>0</v>
      </c>
      <c r="AS3" s="737"/>
      <c r="AT3" s="737"/>
      <c r="AU3" s="737"/>
      <c r="AV3" s="737"/>
      <c r="AW3" s="103"/>
      <c r="AX3" s="478"/>
      <c r="AY3" s="736" t="s">
        <v>0</v>
      </c>
      <c r="AZ3" s="737"/>
      <c r="BA3" s="737"/>
      <c r="BB3" s="737"/>
      <c r="BC3" s="737"/>
      <c r="BD3" s="263"/>
      <c r="BE3" s="103"/>
      <c r="BF3" s="736" t="s">
        <v>0</v>
      </c>
      <c r="BG3" s="737"/>
      <c r="BH3" s="737"/>
      <c r="BI3" s="737"/>
      <c r="BJ3" s="737"/>
      <c r="BK3" s="263"/>
      <c r="BL3" s="103"/>
      <c r="BM3" s="736" t="s">
        <v>0</v>
      </c>
      <c r="BN3" s="737"/>
      <c r="BO3" s="737"/>
      <c r="BP3" s="737"/>
      <c r="BQ3" s="737"/>
      <c r="BR3" s="263"/>
      <c r="BS3" s="103"/>
      <c r="BT3" s="736" t="s">
        <v>0</v>
      </c>
      <c r="BU3" s="737"/>
      <c r="BV3" s="737"/>
      <c r="BW3" s="737"/>
      <c r="BX3" s="737"/>
      <c r="BY3" s="103"/>
      <c r="BZ3" s="103"/>
    </row>
    <row r="4" spans="1:78" ht="13">
      <c r="A4" s="160"/>
      <c r="B4" s="263" t="s">
        <v>32</v>
      </c>
      <c r="C4" s="264" t="s">
        <v>32</v>
      </c>
      <c r="D4" s="264" t="s">
        <v>33</v>
      </c>
      <c r="E4" s="264" t="s">
        <v>34</v>
      </c>
      <c r="F4" s="264"/>
      <c r="G4" s="160"/>
      <c r="H4" s="160"/>
      <c r="I4" s="263" t="s">
        <v>32</v>
      </c>
      <c r="J4" s="264" t="s">
        <v>32</v>
      </c>
      <c r="K4" s="264" t="s">
        <v>33</v>
      </c>
      <c r="L4" s="264" t="s">
        <v>34</v>
      </c>
      <c r="M4" s="264"/>
      <c r="N4" s="55"/>
      <c r="O4" s="160"/>
      <c r="P4" s="263" t="s">
        <v>32</v>
      </c>
      <c r="Q4" s="264" t="s">
        <v>32</v>
      </c>
      <c r="R4" s="264" t="s">
        <v>33</v>
      </c>
      <c r="S4" s="264" t="s">
        <v>34</v>
      </c>
      <c r="T4" s="264"/>
      <c r="U4" s="55"/>
      <c r="V4" s="160"/>
      <c r="W4" s="263" t="s">
        <v>32</v>
      </c>
      <c r="X4" s="264" t="s">
        <v>32</v>
      </c>
      <c r="Y4" s="264" t="s">
        <v>33</v>
      </c>
      <c r="Z4" s="264" t="s">
        <v>34</v>
      </c>
      <c r="AA4" s="264"/>
      <c r="AB4" s="160"/>
      <c r="AC4" s="160"/>
      <c r="AD4" s="263" t="s">
        <v>32</v>
      </c>
      <c r="AE4" s="264" t="s">
        <v>32</v>
      </c>
      <c r="AF4" s="264" t="s">
        <v>33</v>
      </c>
      <c r="AG4" s="264" t="s">
        <v>34</v>
      </c>
      <c r="AH4" s="264"/>
      <c r="AI4" s="160"/>
      <c r="AJ4" s="160"/>
      <c r="AK4" s="263" t="s">
        <v>32</v>
      </c>
      <c r="AL4" s="264" t="s">
        <v>32</v>
      </c>
      <c r="AM4" s="264" t="s">
        <v>33</v>
      </c>
      <c r="AN4" s="264" t="s">
        <v>34</v>
      </c>
      <c r="AO4" s="264"/>
      <c r="AP4" s="160"/>
      <c r="AQ4" s="201"/>
      <c r="AR4" s="479" t="s">
        <v>32</v>
      </c>
      <c r="AS4" s="477" t="s">
        <v>32</v>
      </c>
      <c r="AT4" s="477" t="s">
        <v>33</v>
      </c>
      <c r="AU4" s="477" t="s">
        <v>34</v>
      </c>
      <c r="AV4" s="477"/>
      <c r="AW4" s="160"/>
      <c r="AX4" s="344"/>
      <c r="AY4" s="263" t="s">
        <v>32</v>
      </c>
      <c r="AZ4" s="264" t="s">
        <v>32</v>
      </c>
      <c r="BA4" s="264" t="s">
        <v>33</v>
      </c>
      <c r="BB4" s="264" t="s">
        <v>34</v>
      </c>
      <c r="BC4" s="264"/>
      <c r="BD4" s="55"/>
      <c r="BE4" s="160"/>
      <c r="BF4" s="263" t="s">
        <v>32</v>
      </c>
      <c r="BG4" s="264" t="s">
        <v>32</v>
      </c>
      <c r="BH4" s="264" t="s">
        <v>33</v>
      </c>
      <c r="BI4" s="264" t="s">
        <v>34</v>
      </c>
      <c r="BJ4" s="264"/>
      <c r="BK4" s="55"/>
      <c r="BL4" s="160"/>
      <c r="BM4" s="263" t="s">
        <v>32</v>
      </c>
      <c r="BN4" s="264" t="s">
        <v>32</v>
      </c>
      <c r="BO4" s="264" t="s">
        <v>33</v>
      </c>
      <c r="BP4" s="264" t="s">
        <v>34</v>
      </c>
      <c r="BQ4" s="264"/>
      <c r="BR4" s="55"/>
      <c r="BS4" s="160"/>
      <c r="BT4" s="263" t="s">
        <v>32</v>
      </c>
      <c r="BU4" s="264" t="s">
        <v>32</v>
      </c>
      <c r="BV4" s="264" t="s">
        <v>33</v>
      </c>
      <c r="BW4" s="264" t="s">
        <v>34</v>
      </c>
      <c r="BX4" s="264"/>
      <c r="BY4" s="160"/>
      <c r="BZ4" s="160"/>
    </row>
    <row r="5" spans="1:78" ht="13.5" thickBot="1">
      <c r="A5" s="77" t="s">
        <v>4</v>
      </c>
      <c r="B5" s="74" t="s">
        <v>99</v>
      </c>
      <c r="C5" s="26" t="s">
        <v>93</v>
      </c>
      <c r="D5" s="26" t="s">
        <v>93</v>
      </c>
      <c r="E5" s="26" t="s">
        <v>93</v>
      </c>
      <c r="F5" s="26" t="s">
        <v>208</v>
      </c>
      <c r="G5" s="272" t="s">
        <v>1</v>
      </c>
      <c r="H5" s="272" t="s">
        <v>2</v>
      </c>
      <c r="I5" s="74" t="s">
        <v>99</v>
      </c>
      <c r="J5" s="26" t="s">
        <v>93</v>
      </c>
      <c r="K5" s="26" t="s">
        <v>93</v>
      </c>
      <c r="L5" s="26" t="s">
        <v>93</v>
      </c>
      <c r="M5" s="26" t="s">
        <v>208</v>
      </c>
      <c r="N5" s="74" t="s">
        <v>1</v>
      </c>
      <c r="O5" s="272" t="s">
        <v>2</v>
      </c>
      <c r="P5" s="74" t="s">
        <v>99</v>
      </c>
      <c r="Q5" s="26" t="s">
        <v>93</v>
      </c>
      <c r="R5" s="26" t="s">
        <v>93</v>
      </c>
      <c r="S5" s="26" t="s">
        <v>93</v>
      </c>
      <c r="T5" s="26" t="s">
        <v>208</v>
      </c>
      <c r="U5" s="74" t="s">
        <v>1</v>
      </c>
      <c r="V5" s="272" t="s">
        <v>2</v>
      </c>
      <c r="W5" s="74" t="s">
        <v>99</v>
      </c>
      <c r="X5" s="26" t="s">
        <v>93</v>
      </c>
      <c r="Y5" s="26" t="s">
        <v>93</v>
      </c>
      <c r="Z5" s="26" t="s">
        <v>93</v>
      </c>
      <c r="AA5" s="26" t="s">
        <v>208</v>
      </c>
      <c r="AB5" s="272" t="s">
        <v>1</v>
      </c>
      <c r="AC5" s="272" t="s">
        <v>2</v>
      </c>
      <c r="AD5" s="74" t="s">
        <v>99</v>
      </c>
      <c r="AE5" s="26" t="s">
        <v>93</v>
      </c>
      <c r="AF5" s="26" t="s">
        <v>93</v>
      </c>
      <c r="AG5" s="26" t="s">
        <v>93</v>
      </c>
      <c r="AH5" s="26" t="s">
        <v>208</v>
      </c>
      <c r="AI5" s="272" t="s">
        <v>1</v>
      </c>
      <c r="AJ5" s="272" t="s">
        <v>2</v>
      </c>
      <c r="AK5" s="74" t="s">
        <v>99</v>
      </c>
      <c r="AL5" s="26" t="s">
        <v>93</v>
      </c>
      <c r="AM5" s="26" t="s">
        <v>93</v>
      </c>
      <c r="AN5" s="26" t="s">
        <v>93</v>
      </c>
      <c r="AO5" s="26" t="s">
        <v>208</v>
      </c>
      <c r="AP5" s="272" t="s">
        <v>1</v>
      </c>
      <c r="AQ5" s="108" t="s">
        <v>2</v>
      </c>
      <c r="AR5" s="74" t="s">
        <v>99</v>
      </c>
      <c r="AS5" s="26" t="s">
        <v>93</v>
      </c>
      <c r="AT5" s="26" t="s">
        <v>93</v>
      </c>
      <c r="AU5" s="26" t="s">
        <v>93</v>
      </c>
      <c r="AV5" s="26" t="s">
        <v>208</v>
      </c>
      <c r="AW5" s="272" t="s">
        <v>1</v>
      </c>
      <c r="AX5" s="108" t="s">
        <v>2</v>
      </c>
      <c r="AY5" s="74" t="s">
        <v>99</v>
      </c>
      <c r="AZ5" s="26" t="s">
        <v>93</v>
      </c>
      <c r="BA5" s="26" t="s">
        <v>93</v>
      </c>
      <c r="BB5" s="26" t="s">
        <v>93</v>
      </c>
      <c r="BC5" s="26" t="s">
        <v>208</v>
      </c>
      <c r="BD5" s="74" t="s">
        <v>1</v>
      </c>
      <c r="BE5" s="272" t="s">
        <v>2</v>
      </c>
      <c r="BF5" s="74" t="s">
        <v>99</v>
      </c>
      <c r="BG5" s="26" t="s">
        <v>93</v>
      </c>
      <c r="BH5" s="26" t="s">
        <v>93</v>
      </c>
      <c r="BI5" s="26" t="s">
        <v>93</v>
      </c>
      <c r="BJ5" s="26" t="s">
        <v>208</v>
      </c>
      <c r="BK5" s="74" t="s">
        <v>1</v>
      </c>
      <c r="BL5" s="272" t="s">
        <v>2</v>
      </c>
      <c r="BM5" s="74" t="s">
        <v>99</v>
      </c>
      <c r="BN5" s="26" t="s">
        <v>93</v>
      </c>
      <c r="BO5" s="26" t="s">
        <v>93</v>
      </c>
      <c r="BP5" s="26" t="s">
        <v>93</v>
      </c>
      <c r="BQ5" s="26" t="s">
        <v>208</v>
      </c>
      <c r="BR5" s="74" t="s">
        <v>1</v>
      </c>
      <c r="BS5" s="272" t="s">
        <v>2</v>
      </c>
      <c r="BT5" s="74" t="s">
        <v>99</v>
      </c>
      <c r="BU5" s="26" t="s">
        <v>93</v>
      </c>
      <c r="BV5" s="26" t="s">
        <v>93</v>
      </c>
      <c r="BW5" s="26" t="s">
        <v>93</v>
      </c>
      <c r="BX5" s="26" t="s">
        <v>208</v>
      </c>
      <c r="BY5" s="272" t="s">
        <v>1</v>
      </c>
      <c r="BZ5" s="272" t="s">
        <v>2</v>
      </c>
    </row>
    <row r="6" spans="1:78" ht="13">
      <c r="A6" s="105"/>
      <c r="B6" s="104" t="s">
        <v>45</v>
      </c>
      <c r="C6" s="8" t="s">
        <v>45</v>
      </c>
      <c r="D6" s="8" t="s">
        <v>45</v>
      </c>
      <c r="E6" s="8" t="s">
        <v>45</v>
      </c>
      <c r="F6" s="8" t="s">
        <v>45</v>
      </c>
      <c r="G6" s="106" t="s">
        <v>45</v>
      </c>
      <c r="H6" s="106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/>
      <c r="N6" s="105" t="s">
        <v>45</v>
      </c>
      <c r="O6" s="105" t="s">
        <v>45</v>
      </c>
      <c r="P6" s="5" t="s">
        <v>45</v>
      </c>
      <c r="Q6" s="6" t="s">
        <v>45</v>
      </c>
      <c r="R6" s="6" t="s">
        <v>45</v>
      </c>
      <c r="S6" s="6" t="s">
        <v>45</v>
      </c>
      <c r="T6" s="6"/>
      <c r="U6" s="5" t="s">
        <v>45</v>
      </c>
      <c r="V6" s="105" t="s">
        <v>45</v>
      </c>
      <c r="W6" s="5" t="s">
        <v>45</v>
      </c>
      <c r="X6" s="6" t="s">
        <v>45</v>
      </c>
      <c r="Y6" s="6" t="s">
        <v>45</v>
      </c>
      <c r="Z6" s="6" t="s">
        <v>45</v>
      </c>
      <c r="AA6" s="6"/>
      <c r="AB6" s="105" t="s">
        <v>45</v>
      </c>
      <c r="AC6" s="105" t="s">
        <v>45</v>
      </c>
      <c r="AD6" s="6" t="s">
        <v>45</v>
      </c>
      <c r="AE6" s="6" t="s">
        <v>45</v>
      </c>
      <c r="AF6" s="6" t="s">
        <v>45</v>
      </c>
      <c r="AG6" s="6" t="s">
        <v>45</v>
      </c>
      <c r="AH6" s="6"/>
      <c r="AI6" s="105" t="s">
        <v>45</v>
      </c>
      <c r="AJ6" s="105" t="s">
        <v>45</v>
      </c>
      <c r="AK6" s="5" t="s">
        <v>45</v>
      </c>
      <c r="AL6" s="6" t="s">
        <v>45</v>
      </c>
      <c r="AM6" s="6" t="s">
        <v>45</v>
      </c>
      <c r="AN6" s="6" t="s">
        <v>45</v>
      </c>
      <c r="AO6" s="6"/>
      <c r="AP6" s="105" t="s">
        <v>45</v>
      </c>
      <c r="AQ6" s="7" t="s">
        <v>45</v>
      </c>
      <c r="AR6" s="5" t="s">
        <v>45</v>
      </c>
      <c r="AS6" s="6" t="s">
        <v>45</v>
      </c>
      <c r="AT6" s="6" t="s">
        <v>45</v>
      </c>
      <c r="AU6" s="6" t="s">
        <v>45</v>
      </c>
      <c r="AV6" s="6"/>
      <c r="AW6" s="105" t="s">
        <v>45</v>
      </c>
      <c r="AX6" s="7" t="s">
        <v>45</v>
      </c>
      <c r="AY6" s="5" t="s">
        <v>45</v>
      </c>
      <c r="AZ6" s="6" t="s">
        <v>45</v>
      </c>
      <c r="BA6" s="6" t="s">
        <v>45</v>
      </c>
      <c r="BB6" s="6" t="s">
        <v>45</v>
      </c>
      <c r="BC6" s="6"/>
      <c r="BD6" s="5" t="s">
        <v>45</v>
      </c>
      <c r="BE6" s="105" t="s">
        <v>45</v>
      </c>
      <c r="BF6" s="5" t="s">
        <v>45</v>
      </c>
      <c r="BG6" s="6" t="s">
        <v>45</v>
      </c>
      <c r="BH6" s="6" t="s">
        <v>45</v>
      </c>
      <c r="BI6" s="6" t="s">
        <v>45</v>
      </c>
      <c r="BJ6" s="6"/>
      <c r="BK6" s="5" t="s">
        <v>45</v>
      </c>
      <c r="BL6" s="105" t="s">
        <v>45</v>
      </c>
      <c r="BM6" s="5" t="s">
        <v>45</v>
      </c>
      <c r="BN6" s="6" t="s">
        <v>45</v>
      </c>
      <c r="BO6" s="6" t="s">
        <v>45</v>
      </c>
      <c r="BP6" s="6" t="s">
        <v>45</v>
      </c>
      <c r="BQ6" s="6" t="s">
        <v>45</v>
      </c>
      <c r="BR6" s="5" t="s">
        <v>45</v>
      </c>
      <c r="BS6" s="105" t="s">
        <v>45</v>
      </c>
      <c r="BT6" s="5" t="s">
        <v>45</v>
      </c>
      <c r="BU6" s="6" t="s">
        <v>45</v>
      </c>
      <c r="BV6" s="6" t="s">
        <v>45</v>
      </c>
      <c r="BW6" s="6" t="s">
        <v>45</v>
      </c>
      <c r="BX6" s="6"/>
      <c r="BY6" s="105" t="s">
        <v>45</v>
      </c>
      <c r="BZ6" s="105" t="s">
        <v>45</v>
      </c>
    </row>
    <row r="7" spans="1:78" ht="13">
      <c r="A7" s="124"/>
      <c r="B7" s="104"/>
      <c r="C7" s="8"/>
      <c r="D7" s="8"/>
      <c r="E7" s="8"/>
      <c r="F7" s="8"/>
      <c r="G7" s="106"/>
      <c r="H7" s="106"/>
      <c r="I7" s="8"/>
      <c r="J7" s="8"/>
      <c r="K7" s="8"/>
      <c r="L7" s="8"/>
      <c r="M7" s="8"/>
      <c r="N7" s="106"/>
      <c r="O7" s="106"/>
      <c r="P7" s="104"/>
      <c r="Q7" s="8"/>
      <c r="R7" s="8"/>
      <c r="S7" s="8"/>
      <c r="T7" s="8"/>
      <c r="U7" s="104"/>
      <c r="V7" s="106"/>
      <c r="W7" s="104"/>
      <c r="X7" s="8"/>
      <c r="Y7" s="8"/>
      <c r="Z7" s="8"/>
      <c r="AA7" s="8"/>
      <c r="AB7" s="106"/>
      <c r="AC7" s="106"/>
      <c r="AD7" s="8"/>
      <c r="AE7" s="8"/>
      <c r="AF7" s="8"/>
      <c r="AG7" s="8"/>
      <c r="AH7" s="8"/>
      <c r="AI7" s="106"/>
      <c r="AJ7" s="106"/>
      <c r="AK7" s="104"/>
      <c r="AL7" s="8"/>
      <c r="AM7" s="8"/>
      <c r="AN7" s="8"/>
      <c r="AO7" s="8"/>
      <c r="AP7" s="106"/>
      <c r="AQ7" s="9"/>
      <c r="AR7" s="8"/>
      <c r="AS7" s="8"/>
      <c r="AT7" s="8"/>
      <c r="AU7" s="8"/>
      <c r="AV7" s="8"/>
      <c r="AW7" s="106"/>
      <c r="AX7" s="8"/>
      <c r="AY7" s="104"/>
      <c r="AZ7" s="8"/>
      <c r="BA7" s="8"/>
      <c r="BB7" s="8"/>
      <c r="BC7" s="8"/>
      <c r="BD7" s="104"/>
      <c r="BE7" s="106"/>
      <c r="BF7" s="104"/>
      <c r="BG7" s="8"/>
      <c r="BH7" s="8"/>
      <c r="BI7" s="8"/>
      <c r="BJ7" s="8"/>
      <c r="BK7" s="104"/>
      <c r="BL7" s="106"/>
      <c r="BM7" s="104"/>
      <c r="BN7" s="8"/>
      <c r="BO7" s="8"/>
      <c r="BP7" s="8"/>
      <c r="BQ7" s="8"/>
      <c r="BR7" s="104"/>
      <c r="BS7" s="106"/>
      <c r="BT7" s="104"/>
      <c r="BU7" s="8"/>
      <c r="BV7" s="8"/>
      <c r="BW7" s="8"/>
      <c r="BX7" s="8"/>
      <c r="BY7" s="106"/>
      <c r="BZ7" s="106"/>
    </row>
    <row r="8" spans="1:78" ht="13">
      <c r="A8" s="124" t="s">
        <v>5</v>
      </c>
      <c r="B8" s="435"/>
      <c r="C8" s="436"/>
      <c r="D8" s="436"/>
      <c r="E8" s="436"/>
      <c r="F8" s="184"/>
      <c r="G8" s="437"/>
      <c r="H8" s="219"/>
      <c r="I8" s="436"/>
      <c r="J8" s="436"/>
      <c r="K8" s="436"/>
      <c r="L8" s="436"/>
      <c r="M8" s="184"/>
      <c r="N8" s="437"/>
      <c r="O8" s="219"/>
      <c r="P8" s="435"/>
      <c r="Q8" s="436"/>
      <c r="R8" s="436"/>
      <c r="S8" s="436"/>
      <c r="T8" s="184"/>
      <c r="U8" s="435"/>
      <c r="V8" s="219"/>
      <c r="W8" s="435"/>
      <c r="X8" s="436"/>
      <c r="Y8" s="436"/>
      <c r="Z8" s="436"/>
      <c r="AA8" s="184"/>
      <c r="AB8" s="435"/>
      <c r="AC8" s="219"/>
      <c r="AD8" s="436"/>
      <c r="AE8" s="436"/>
      <c r="AF8" s="436"/>
      <c r="AG8" s="436"/>
      <c r="AH8" s="184"/>
      <c r="AI8" s="219"/>
      <c r="AJ8" s="219"/>
      <c r="AK8" s="435"/>
      <c r="AL8" s="436"/>
      <c r="AM8" s="436"/>
      <c r="AN8" s="436"/>
      <c r="AO8" s="184"/>
      <c r="AP8" s="219"/>
      <c r="AQ8" s="185"/>
      <c r="AR8" s="435"/>
      <c r="AS8" s="436"/>
      <c r="AT8" s="436"/>
      <c r="AU8" s="436"/>
      <c r="AV8" s="184"/>
      <c r="AW8" s="183"/>
      <c r="AX8" s="219"/>
      <c r="AY8" s="435"/>
      <c r="AZ8" s="436"/>
      <c r="BA8" s="436"/>
      <c r="BB8" s="436"/>
      <c r="BC8" s="184"/>
      <c r="BD8" s="183"/>
      <c r="BE8" s="219"/>
      <c r="BF8" s="435"/>
      <c r="BG8" s="436"/>
      <c r="BH8" s="436"/>
      <c r="BI8" s="436"/>
      <c r="BJ8" s="184"/>
      <c r="BK8" s="183"/>
      <c r="BL8" s="219"/>
      <c r="BM8" s="435"/>
      <c r="BN8" s="436"/>
      <c r="BO8" s="436"/>
      <c r="BP8" s="436"/>
      <c r="BQ8" s="184"/>
      <c r="BR8" s="183"/>
      <c r="BS8" s="219"/>
      <c r="BT8" s="183"/>
      <c r="BU8" s="184"/>
      <c r="BV8" s="184"/>
      <c r="BW8" s="184"/>
      <c r="BX8" s="184"/>
      <c r="BY8" s="219"/>
      <c r="BZ8" s="219"/>
    </row>
    <row r="9" spans="1:78" ht="13">
      <c r="A9" s="371" t="s">
        <v>6</v>
      </c>
      <c r="B9" s="435"/>
      <c r="C9" s="436"/>
      <c r="D9" s="436"/>
      <c r="E9" s="436"/>
      <c r="F9" s="184"/>
      <c r="G9" s="437"/>
      <c r="H9" s="219"/>
      <c r="I9" s="436"/>
      <c r="J9" s="436"/>
      <c r="K9" s="436"/>
      <c r="L9" s="436"/>
      <c r="M9" s="184"/>
      <c r="N9" s="437"/>
      <c r="O9" s="219"/>
      <c r="P9" s="435"/>
      <c r="Q9" s="436"/>
      <c r="R9" s="436"/>
      <c r="S9" s="436"/>
      <c r="T9" s="184"/>
      <c r="U9" s="435"/>
      <c r="V9" s="219"/>
      <c r="W9" s="435"/>
      <c r="X9" s="436"/>
      <c r="Y9" s="436"/>
      <c r="Z9" s="436"/>
      <c r="AA9" s="184"/>
      <c r="AB9" s="435"/>
      <c r="AC9" s="219"/>
      <c r="AD9" s="436"/>
      <c r="AE9" s="436"/>
      <c r="AF9" s="436"/>
      <c r="AG9" s="436"/>
      <c r="AH9" s="184"/>
      <c r="AI9" s="219"/>
      <c r="AJ9" s="219"/>
      <c r="AK9" s="435"/>
      <c r="AL9" s="436"/>
      <c r="AM9" s="436"/>
      <c r="AN9" s="436"/>
      <c r="AO9" s="184"/>
      <c r="AP9" s="219"/>
      <c r="AQ9" s="185"/>
      <c r="AR9" s="435"/>
      <c r="AS9" s="436"/>
      <c r="AT9" s="436"/>
      <c r="AU9" s="436"/>
      <c r="AV9" s="184"/>
      <c r="AW9" s="183"/>
      <c r="AX9" s="219"/>
      <c r="AY9" s="435"/>
      <c r="AZ9" s="436"/>
      <c r="BA9" s="436"/>
      <c r="BB9" s="436"/>
      <c r="BC9" s="184"/>
      <c r="BD9" s="183"/>
      <c r="BE9" s="219"/>
      <c r="BF9" s="435"/>
      <c r="BG9" s="436"/>
      <c r="BH9" s="436"/>
      <c r="BI9" s="436"/>
      <c r="BJ9" s="184"/>
      <c r="BK9" s="183"/>
      <c r="BL9" s="219"/>
      <c r="BM9" s="435"/>
      <c r="BN9" s="436"/>
      <c r="BO9" s="436"/>
      <c r="BP9" s="436"/>
      <c r="BQ9" s="184"/>
      <c r="BR9" s="183"/>
      <c r="BS9" s="219"/>
      <c r="BT9" s="183"/>
      <c r="BU9" s="184"/>
      <c r="BV9" s="184"/>
      <c r="BW9" s="184"/>
      <c r="BX9" s="184"/>
      <c r="BY9" s="219"/>
      <c r="BZ9" s="219"/>
    </row>
    <row r="10" spans="1:78" ht="13">
      <c r="A10" s="124" t="s">
        <v>7</v>
      </c>
      <c r="B10" s="435"/>
      <c r="C10" s="436"/>
      <c r="D10" s="436"/>
      <c r="E10" s="436"/>
      <c r="F10" s="184"/>
      <c r="G10" s="437"/>
      <c r="H10" s="219"/>
      <c r="I10" s="436"/>
      <c r="J10" s="436"/>
      <c r="K10" s="436"/>
      <c r="L10" s="436"/>
      <c r="M10" s="184"/>
      <c r="N10" s="437"/>
      <c r="O10" s="219"/>
      <c r="P10" s="435"/>
      <c r="Q10" s="436"/>
      <c r="R10" s="436"/>
      <c r="S10" s="436"/>
      <c r="T10" s="184"/>
      <c r="U10" s="435"/>
      <c r="V10" s="219"/>
      <c r="W10" s="435"/>
      <c r="X10" s="436"/>
      <c r="Y10" s="436"/>
      <c r="Z10" s="436"/>
      <c r="AA10" s="184"/>
      <c r="AB10" s="435"/>
      <c r="AC10" s="219"/>
      <c r="AD10" s="436"/>
      <c r="AE10" s="436"/>
      <c r="AF10" s="436"/>
      <c r="AG10" s="436"/>
      <c r="AH10" s="184"/>
      <c r="AI10" s="219"/>
      <c r="AJ10" s="219"/>
      <c r="AK10" s="435"/>
      <c r="AL10" s="436"/>
      <c r="AM10" s="436"/>
      <c r="AN10" s="436"/>
      <c r="AO10" s="184"/>
      <c r="AP10" s="219"/>
      <c r="AQ10" s="185"/>
      <c r="AR10" s="435"/>
      <c r="AS10" s="436"/>
      <c r="AT10" s="436"/>
      <c r="AU10" s="436"/>
      <c r="AV10" s="184"/>
      <c r="AW10" s="183"/>
      <c r="AX10" s="219"/>
      <c r="AY10" s="435"/>
      <c r="AZ10" s="436"/>
      <c r="BA10" s="436"/>
      <c r="BB10" s="436"/>
      <c r="BC10" s="184"/>
      <c r="BD10" s="183"/>
      <c r="BE10" s="219"/>
      <c r="BF10" s="435"/>
      <c r="BG10" s="436"/>
      <c r="BH10" s="436"/>
      <c r="BI10" s="436"/>
      <c r="BJ10" s="184"/>
      <c r="BK10" s="183"/>
      <c r="BL10" s="219"/>
      <c r="BM10" s="435"/>
      <c r="BN10" s="436"/>
      <c r="BO10" s="436"/>
      <c r="BP10" s="436"/>
      <c r="BQ10" s="184"/>
      <c r="BR10" s="183"/>
      <c r="BS10" s="219"/>
      <c r="BT10" s="183"/>
      <c r="BU10" s="184"/>
      <c r="BV10" s="184"/>
      <c r="BW10" s="184"/>
      <c r="BX10" s="184"/>
      <c r="BY10" s="219"/>
      <c r="BZ10" s="219"/>
    </row>
    <row r="11" spans="1:78" ht="13">
      <c r="A11" s="124" t="s">
        <v>105</v>
      </c>
      <c r="B11" s="435">
        <v>1</v>
      </c>
      <c r="C11" s="436"/>
      <c r="D11" s="436"/>
      <c r="E11" s="436"/>
      <c r="F11" s="184">
        <f t="shared" ref="F11" si="0">SUM(B11:E11)</f>
        <v>1</v>
      </c>
      <c r="G11" s="437"/>
      <c r="H11" s="219">
        <f t="shared" ref="H11" si="1">F11+G11</f>
        <v>1</v>
      </c>
      <c r="I11" s="436"/>
      <c r="J11" s="436"/>
      <c r="K11" s="436"/>
      <c r="L11" s="436"/>
      <c r="M11" s="184"/>
      <c r="N11" s="437"/>
      <c r="O11" s="219"/>
      <c r="P11" s="435"/>
      <c r="Q11" s="436"/>
      <c r="R11" s="436"/>
      <c r="S11" s="436"/>
      <c r="T11" s="184"/>
      <c r="U11" s="435"/>
      <c r="V11" s="219"/>
      <c r="W11" s="435"/>
      <c r="X11" s="436"/>
      <c r="Y11" s="436"/>
      <c r="Z11" s="436"/>
      <c r="AA11" s="184"/>
      <c r="AB11" s="435"/>
      <c r="AC11" s="219"/>
      <c r="AD11" s="436"/>
      <c r="AE11" s="436"/>
      <c r="AF11" s="436"/>
      <c r="AG11" s="436"/>
      <c r="AH11" s="184"/>
      <c r="AI11" s="219"/>
      <c r="AJ11" s="219"/>
      <c r="AK11" s="435"/>
      <c r="AL11" s="436"/>
      <c r="AM11" s="436"/>
      <c r="AN11" s="436"/>
      <c r="AO11" s="184"/>
      <c r="AP11" s="219"/>
      <c r="AQ11" s="185"/>
      <c r="AR11" s="435"/>
      <c r="AS11" s="436"/>
      <c r="AT11" s="436"/>
      <c r="AU11" s="436"/>
      <c r="AV11" s="184"/>
      <c r="AW11" s="183"/>
      <c r="AX11" s="219"/>
      <c r="AY11" s="435"/>
      <c r="AZ11" s="436"/>
      <c r="BA11" s="436"/>
      <c r="BB11" s="436"/>
      <c r="BC11" s="184"/>
      <c r="BD11" s="183"/>
      <c r="BE11" s="219"/>
      <c r="BF11" s="435"/>
      <c r="BG11" s="436"/>
      <c r="BH11" s="436"/>
      <c r="BI11" s="436"/>
      <c r="BJ11" s="184"/>
      <c r="BK11" s="183"/>
      <c r="BL11" s="219"/>
      <c r="BM11" s="435"/>
      <c r="BN11" s="436"/>
      <c r="BO11" s="436"/>
      <c r="BP11" s="436"/>
      <c r="BQ11" s="184"/>
      <c r="BR11" s="183"/>
      <c r="BS11" s="219"/>
      <c r="BT11" s="183">
        <f t="shared" ref="BT11" si="2">B11+I11+P11+W11+AD11+AK11+AR11+AY11+BF11+BM11</f>
        <v>1</v>
      </c>
      <c r="BU11" s="184"/>
      <c r="BV11" s="184"/>
      <c r="BW11" s="184"/>
      <c r="BX11" s="184">
        <f t="shared" ref="BX11" si="3">SUM(BT11:BW11)</f>
        <v>1</v>
      </c>
      <c r="BY11" s="219"/>
      <c r="BZ11" s="219">
        <f t="shared" ref="BZ11" si="4">BX11+BY11</f>
        <v>1</v>
      </c>
    </row>
    <row r="12" spans="1:78" ht="13">
      <c r="A12" s="124" t="s">
        <v>97</v>
      </c>
      <c r="B12" s="435"/>
      <c r="C12" s="436"/>
      <c r="D12" s="436"/>
      <c r="E12" s="436"/>
      <c r="F12" s="184"/>
      <c r="G12" s="437"/>
      <c r="H12" s="219"/>
      <c r="I12" s="436"/>
      <c r="J12" s="436"/>
      <c r="K12" s="436"/>
      <c r="L12" s="436"/>
      <c r="M12" s="184"/>
      <c r="N12" s="437"/>
      <c r="O12" s="219"/>
      <c r="P12" s="435"/>
      <c r="Q12" s="436"/>
      <c r="R12" s="436"/>
      <c r="S12" s="436"/>
      <c r="T12" s="184"/>
      <c r="U12" s="435"/>
      <c r="V12" s="219"/>
      <c r="W12" s="435"/>
      <c r="X12" s="436"/>
      <c r="Y12" s="436"/>
      <c r="Z12" s="436"/>
      <c r="AA12" s="184"/>
      <c r="AB12" s="435"/>
      <c r="AC12" s="219"/>
      <c r="AD12" s="436"/>
      <c r="AE12" s="436"/>
      <c r="AF12" s="436"/>
      <c r="AG12" s="436"/>
      <c r="AH12" s="184"/>
      <c r="AI12" s="219"/>
      <c r="AJ12" s="219"/>
      <c r="AK12" s="435"/>
      <c r="AL12" s="436"/>
      <c r="AM12" s="436"/>
      <c r="AN12" s="436"/>
      <c r="AO12" s="184"/>
      <c r="AP12" s="219"/>
      <c r="AQ12" s="185"/>
      <c r="AR12" s="435"/>
      <c r="AS12" s="436"/>
      <c r="AT12" s="436"/>
      <c r="AU12" s="436"/>
      <c r="AV12" s="184"/>
      <c r="AW12" s="183"/>
      <c r="AX12" s="219"/>
      <c r="AY12" s="435"/>
      <c r="AZ12" s="436"/>
      <c r="BA12" s="436"/>
      <c r="BB12" s="436"/>
      <c r="BC12" s="184"/>
      <c r="BD12" s="183"/>
      <c r="BE12" s="219"/>
      <c r="BF12" s="435"/>
      <c r="BG12" s="436"/>
      <c r="BH12" s="436"/>
      <c r="BI12" s="436"/>
      <c r="BJ12" s="184"/>
      <c r="BK12" s="183"/>
      <c r="BL12" s="219"/>
      <c r="BM12" s="435"/>
      <c r="BN12" s="436"/>
      <c r="BO12" s="436"/>
      <c r="BP12" s="436"/>
      <c r="BQ12" s="184"/>
      <c r="BR12" s="183"/>
      <c r="BS12" s="219"/>
      <c r="BT12" s="183"/>
      <c r="BU12" s="184"/>
      <c r="BV12" s="184"/>
      <c r="BW12" s="184"/>
      <c r="BX12" s="184"/>
      <c r="BY12" s="219"/>
      <c r="BZ12" s="219"/>
    </row>
    <row r="13" spans="1:78" ht="13">
      <c r="A13" s="124" t="s">
        <v>8</v>
      </c>
      <c r="B13" s="435"/>
      <c r="C13" s="436"/>
      <c r="D13" s="436"/>
      <c r="E13" s="436"/>
      <c r="F13" s="184"/>
      <c r="G13" s="437"/>
      <c r="H13" s="219"/>
      <c r="I13" s="436"/>
      <c r="J13" s="436"/>
      <c r="K13" s="436"/>
      <c r="L13" s="436"/>
      <c r="M13" s="184"/>
      <c r="N13" s="437"/>
      <c r="O13" s="219"/>
      <c r="P13" s="435"/>
      <c r="Q13" s="436"/>
      <c r="R13" s="436"/>
      <c r="S13" s="436"/>
      <c r="T13" s="184"/>
      <c r="U13" s="435"/>
      <c r="V13" s="219"/>
      <c r="W13" s="435"/>
      <c r="X13" s="436"/>
      <c r="Y13" s="436"/>
      <c r="Z13" s="436"/>
      <c r="AA13" s="184"/>
      <c r="AB13" s="435"/>
      <c r="AC13" s="219"/>
      <c r="AD13" s="436"/>
      <c r="AE13" s="436"/>
      <c r="AF13" s="436"/>
      <c r="AG13" s="436"/>
      <c r="AH13" s="184"/>
      <c r="AI13" s="219"/>
      <c r="AJ13" s="219"/>
      <c r="AK13" s="435"/>
      <c r="AL13" s="436"/>
      <c r="AM13" s="436"/>
      <c r="AN13" s="436"/>
      <c r="AO13" s="184"/>
      <c r="AP13" s="219"/>
      <c r="AQ13" s="185"/>
      <c r="AR13" s="435"/>
      <c r="AS13" s="436"/>
      <c r="AT13" s="436"/>
      <c r="AU13" s="436"/>
      <c r="AV13" s="184"/>
      <c r="AW13" s="183"/>
      <c r="AX13" s="219"/>
      <c r="AY13" s="435"/>
      <c r="AZ13" s="436"/>
      <c r="BA13" s="436"/>
      <c r="BB13" s="436"/>
      <c r="BC13" s="184"/>
      <c r="BD13" s="183"/>
      <c r="BE13" s="219"/>
      <c r="BF13" s="435"/>
      <c r="BG13" s="436"/>
      <c r="BH13" s="436"/>
      <c r="BI13" s="436"/>
      <c r="BJ13" s="184"/>
      <c r="BK13" s="183"/>
      <c r="BL13" s="219"/>
      <c r="BM13" s="435"/>
      <c r="BN13" s="436"/>
      <c r="BO13" s="436"/>
      <c r="BP13" s="436"/>
      <c r="BQ13" s="184"/>
      <c r="BR13" s="183"/>
      <c r="BS13" s="219"/>
      <c r="BT13" s="183"/>
      <c r="BU13" s="184"/>
      <c r="BV13" s="184"/>
      <c r="BW13" s="184"/>
      <c r="BX13" s="184"/>
      <c r="BY13" s="219"/>
      <c r="BZ13" s="219"/>
    </row>
    <row r="14" spans="1:78" ht="13">
      <c r="A14" s="124" t="s">
        <v>9</v>
      </c>
      <c r="B14" s="435"/>
      <c r="C14" s="436"/>
      <c r="D14" s="436"/>
      <c r="E14" s="436"/>
      <c r="F14" s="184"/>
      <c r="G14" s="437"/>
      <c r="H14" s="219"/>
      <c r="I14" s="436"/>
      <c r="J14" s="436"/>
      <c r="K14" s="436"/>
      <c r="L14" s="436"/>
      <c r="M14" s="184"/>
      <c r="N14" s="437"/>
      <c r="O14" s="219"/>
      <c r="P14" s="435"/>
      <c r="Q14" s="436"/>
      <c r="R14" s="436"/>
      <c r="S14" s="436"/>
      <c r="T14" s="184"/>
      <c r="U14" s="435"/>
      <c r="V14" s="219"/>
      <c r="W14" s="435"/>
      <c r="X14" s="436"/>
      <c r="Y14" s="436"/>
      <c r="Z14" s="436"/>
      <c r="AA14" s="184"/>
      <c r="AB14" s="435"/>
      <c r="AC14" s="219"/>
      <c r="AD14" s="436"/>
      <c r="AE14" s="436"/>
      <c r="AF14" s="436"/>
      <c r="AG14" s="436"/>
      <c r="AH14" s="184"/>
      <c r="AI14" s="219"/>
      <c r="AJ14" s="219"/>
      <c r="AK14" s="435"/>
      <c r="AL14" s="436"/>
      <c r="AM14" s="436"/>
      <c r="AN14" s="436"/>
      <c r="AO14" s="184"/>
      <c r="AP14" s="219"/>
      <c r="AQ14" s="185"/>
      <c r="AR14" s="435"/>
      <c r="AS14" s="436"/>
      <c r="AT14" s="436"/>
      <c r="AU14" s="436"/>
      <c r="AV14" s="184"/>
      <c r="AW14" s="183"/>
      <c r="AX14" s="219"/>
      <c r="AY14" s="435"/>
      <c r="AZ14" s="436"/>
      <c r="BA14" s="436"/>
      <c r="BB14" s="436"/>
      <c r="BC14" s="184"/>
      <c r="BD14" s="183"/>
      <c r="BE14" s="219"/>
      <c r="BF14" s="435"/>
      <c r="BG14" s="436"/>
      <c r="BH14" s="436"/>
      <c r="BI14" s="436"/>
      <c r="BJ14" s="184"/>
      <c r="BK14" s="183"/>
      <c r="BL14" s="219"/>
      <c r="BM14" s="435"/>
      <c r="BN14" s="436"/>
      <c r="BO14" s="436"/>
      <c r="BP14" s="436"/>
      <c r="BQ14" s="184"/>
      <c r="BR14" s="183"/>
      <c r="BS14" s="219"/>
      <c r="BT14" s="183"/>
      <c r="BU14" s="184"/>
      <c r="BV14" s="184"/>
      <c r="BW14" s="184"/>
      <c r="BX14" s="184"/>
      <c r="BY14" s="219"/>
      <c r="BZ14" s="219"/>
    </row>
    <row r="15" spans="1:78" ht="13">
      <c r="A15" s="124" t="s">
        <v>10</v>
      </c>
      <c r="B15" s="435"/>
      <c r="C15" s="436"/>
      <c r="D15" s="436"/>
      <c r="E15" s="436"/>
      <c r="F15" s="184"/>
      <c r="G15" s="437"/>
      <c r="H15" s="219"/>
      <c r="I15" s="436"/>
      <c r="J15" s="436"/>
      <c r="K15" s="436"/>
      <c r="L15" s="436"/>
      <c r="M15" s="184"/>
      <c r="N15" s="437"/>
      <c r="O15" s="219"/>
      <c r="P15" s="435"/>
      <c r="Q15" s="436"/>
      <c r="R15" s="436"/>
      <c r="S15" s="436"/>
      <c r="T15" s="184"/>
      <c r="U15" s="435"/>
      <c r="V15" s="219"/>
      <c r="W15" s="435"/>
      <c r="X15" s="436"/>
      <c r="Y15" s="436"/>
      <c r="Z15" s="436"/>
      <c r="AA15" s="184"/>
      <c r="AB15" s="435"/>
      <c r="AC15" s="219"/>
      <c r="AD15" s="436"/>
      <c r="AE15" s="436"/>
      <c r="AF15" s="436"/>
      <c r="AG15" s="436"/>
      <c r="AH15" s="184"/>
      <c r="AI15" s="219"/>
      <c r="AJ15" s="219"/>
      <c r="AK15" s="435"/>
      <c r="AL15" s="436"/>
      <c r="AM15" s="436"/>
      <c r="AN15" s="436"/>
      <c r="AO15" s="184"/>
      <c r="AP15" s="219"/>
      <c r="AQ15" s="185"/>
      <c r="AR15" s="435"/>
      <c r="AS15" s="436"/>
      <c r="AT15" s="436"/>
      <c r="AU15" s="436"/>
      <c r="AV15" s="184"/>
      <c r="AW15" s="183"/>
      <c r="AX15" s="219"/>
      <c r="AY15" s="435"/>
      <c r="AZ15" s="436"/>
      <c r="BA15" s="436"/>
      <c r="BB15" s="436"/>
      <c r="BC15" s="184"/>
      <c r="BD15" s="183"/>
      <c r="BE15" s="219"/>
      <c r="BF15" s="435"/>
      <c r="BG15" s="436"/>
      <c r="BH15" s="436"/>
      <c r="BI15" s="436"/>
      <c r="BJ15" s="184"/>
      <c r="BK15" s="183"/>
      <c r="BL15" s="219"/>
      <c r="BM15" s="435"/>
      <c r="BN15" s="436"/>
      <c r="BO15" s="436"/>
      <c r="BP15" s="436"/>
      <c r="BQ15" s="184"/>
      <c r="BR15" s="183"/>
      <c r="BS15" s="219"/>
      <c r="BT15" s="183"/>
      <c r="BU15" s="184"/>
      <c r="BV15" s="184"/>
      <c r="BW15" s="184"/>
      <c r="BX15" s="184"/>
      <c r="BY15" s="219"/>
      <c r="BZ15" s="219"/>
    </row>
    <row r="16" spans="1:78" ht="13">
      <c r="A16" s="124" t="s">
        <v>11</v>
      </c>
      <c r="B16" s="435"/>
      <c r="C16" s="436"/>
      <c r="D16" s="436"/>
      <c r="E16" s="436"/>
      <c r="F16" s="184"/>
      <c r="G16" s="437"/>
      <c r="H16" s="219"/>
      <c r="I16" s="436"/>
      <c r="J16" s="436"/>
      <c r="K16" s="436"/>
      <c r="L16" s="436"/>
      <c r="M16" s="184"/>
      <c r="N16" s="437"/>
      <c r="O16" s="219"/>
      <c r="P16" s="435"/>
      <c r="Q16" s="436"/>
      <c r="R16" s="436"/>
      <c r="S16" s="436"/>
      <c r="T16" s="184"/>
      <c r="U16" s="435"/>
      <c r="V16" s="219"/>
      <c r="W16" s="435"/>
      <c r="X16" s="436"/>
      <c r="Y16" s="436"/>
      <c r="Z16" s="436"/>
      <c r="AA16" s="184"/>
      <c r="AB16" s="435"/>
      <c r="AC16" s="219"/>
      <c r="AD16" s="436"/>
      <c r="AE16" s="436"/>
      <c r="AF16" s="436"/>
      <c r="AG16" s="436"/>
      <c r="AH16" s="184"/>
      <c r="AI16" s="219"/>
      <c r="AJ16" s="219"/>
      <c r="AK16" s="435"/>
      <c r="AL16" s="436"/>
      <c r="AM16" s="436"/>
      <c r="AN16" s="436"/>
      <c r="AO16" s="184"/>
      <c r="AP16" s="219"/>
      <c r="AQ16" s="185"/>
      <c r="AR16" s="435"/>
      <c r="AS16" s="436"/>
      <c r="AT16" s="436"/>
      <c r="AU16" s="436"/>
      <c r="AV16" s="184"/>
      <c r="AW16" s="183"/>
      <c r="AX16" s="219"/>
      <c r="AY16" s="435"/>
      <c r="AZ16" s="436"/>
      <c r="BA16" s="436"/>
      <c r="BB16" s="436"/>
      <c r="BC16" s="184"/>
      <c r="BD16" s="183"/>
      <c r="BE16" s="219"/>
      <c r="BF16" s="183"/>
      <c r="BG16" s="184"/>
      <c r="BH16" s="184"/>
      <c r="BI16" s="184"/>
      <c r="BJ16" s="184"/>
      <c r="BK16" s="183"/>
      <c r="BL16" s="219"/>
      <c r="BM16" s="435"/>
      <c r="BN16" s="436"/>
      <c r="BO16" s="436"/>
      <c r="BP16" s="436"/>
      <c r="BQ16" s="184"/>
      <c r="BR16" s="183"/>
      <c r="BS16" s="219"/>
      <c r="BT16" s="183"/>
      <c r="BU16" s="184"/>
      <c r="BV16" s="184"/>
      <c r="BW16" s="184"/>
      <c r="BX16" s="184"/>
      <c r="BY16" s="219"/>
      <c r="BZ16" s="219"/>
    </row>
    <row r="17" spans="1:78" ht="13">
      <c r="A17" s="124" t="s">
        <v>101</v>
      </c>
      <c r="B17" s="435"/>
      <c r="C17" s="436"/>
      <c r="D17" s="436"/>
      <c r="E17" s="436"/>
      <c r="F17" s="184"/>
      <c r="G17" s="437"/>
      <c r="H17" s="219"/>
      <c r="I17" s="436"/>
      <c r="J17" s="436"/>
      <c r="K17" s="436"/>
      <c r="L17" s="436"/>
      <c r="M17" s="184"/>
      <c r="N17" s="437"/>
      <c r="O17" s="219"/>
      <c r="P17" s="435"/>
      <c r="Q17" s="436"/>
      <c r="R17" s="436"/>
      <c r="S17" s="436"/>
      <c r="T17" s="184"/>
      <c r="U17" s="435"/>
      <c r="V17" s="219"/>
      <c r="W17" s="435"/>
      <c r="X17" s="436"/>
      <c r="Y17" s="436"/>
      <c r="Z17" s="436"/>
      <c r="AA17" s="184"/>
      <c r="AB17" s="435"/>
      <c r="AC17" s="219"/>
      <c r="AD17" s="436"/>
      <c r="AE17" s="436"/>
      <c r="AF17" s="436"/>
      <c r="AG17" s="436"/>
      <c r="AH17" s="184"/>
      <c r="AI17" s="219"/>
      <c r="AJ17" s="219"/>
      <c r="AK17" s="435"/>
      <c r="AL17" s="436"/>
      <c r="AM17" s="436"/>
      <c r="AN17" s="436"/>
      <c r="AO17" s="184"/>
      <c r="AP17" s="219"/>
      <c r="AQ17" s="185"/>
      <c r="AR17" s="435"/>
      <c r="AS17" s="436"/>
      <c r="AT17" s="436"/>
      <c r="AU17" s="436"/>
      <c r="AV17" s="184"/>
      <c r="AW17" s="183"/>
      <c r="AX17" s="219"/>
      <c r="AY17" s="435"/>
      <c r="AZ17" s="436"/>
      <c r="BA17" s="436"/>
      <c r="BB17" s="436"/>
      <c r="BC17" s="184"/>
      <c r="BD17" s="183"/>
      <c r="BE17" s="219"/>
      <c r="BF17" s="183"/>
      <c r="BG17" s="184"/>
      <c r="BH17" s="184"/>
      <c r="BI17" s="184"/>
      <c r="BJ17" s="184"/>
      <c r="BK17" s="183"/>
      <c r="BL17" s="219"/>
      <c r="BM17" s="435"/>
      <c r="BN17" s="436"/>
      <c r="BO17" s="436"/>
      <c r="BP17" s="436"/>
      <c r="BQ17" s="184"/>
      <c r="BR17" s="183"/>
      <c r="BS17" s="219"/>
      <c r="BT17" s="183"/>
      <c r="BU17" s="184"/>
      <c r="BV17" s="184"/>
      <c r="BW17" s="184"/>
      <c r="BX17" s="184"/>
      <c r="BY17" s="219"/>
      <c r="BZ17" s="219"/>
    </row>
    <row r="18" spans="1:78" ht="13">
      <c r="A18" s="124" t="s">
        <v>102</v>
      </c>
      <c r="B18" s="435"/>
      <c r="C18" s="436"/>
      <c r="D18" s="436"/>
      <c r="E18" s="436"/>
      <c r="F18" s="184"/>
      <c r="G18" s="437"/>
      <c r="H18" s="219"/>
      <c r="I18" s="436"/>
      <c r="J18" s="436"/>
      <c r="K18" s="436"/>
      <c r="L18" s="436"/>
      <c r="M18" s="184"/>
      <c r="N18" s="219"/>
      <c r="O18" s="219"/>
      <c r="P18" s="435"/>
      <c r="Q18" s="436"/>
      <c r="R18" s="436"/>
      <c r="S18" s="436"/>
      <c r="T18" s="184"/>
      <c r="U18" s="435"/>
      <c r="V18" s="219"/>
      <c r="W18" s="435"/>
      <c r="X18" s="436"/>
      <c r="Y18" s="436"/>
      <c r="Z18" s="436"/>
      <c r="AA18" s="184"/>
      <c r="AB18" s="435"/>
      <c r="AC18" s="219"/>
      <c r="AD18" s="436"/>
      <c r="AE18" s="436"/>
      <c r="AF18" s="436"/>
      <c r="AG18" s="436"/>
      <c r="AH18" s="184"/>
      <c r="AI18" s="219"/>
      <c r="AJ18" s="219"/>
      <c r="AK18" s="435"/>
      <c r="AL18" s="436"/>
      <c r="AM18" s="436"/>
      <c r="AN18" s="436"/>
      <c r="AO18" s="184"/>
      <c r="AP18" s="219"/>
      <c r="AQ18" s="185"/>
      <c r="AR18" s="435"/>
      <c r="AS18" s="436"/>
      <c r="AT18" s="436"/>
      <c r="AU18" s="436"/>
      <c r="AV18" s="184"/>
      <c r="AW18" s="183"/>
      <c r="AX18" s="219"/>
      <c r="AY18" s="435"/>
      <c r="AZ18" s="436"/>
      <c r="BA18" s="436"/>
      <c r="BB18" s="436"/>
      <c r="BC18" s="184"/>
      <c r="BD18" s="183"/>
      <c r="BE18" s="219"/>
      <c r="BF18" s="183"/>
      <c r="BG18" s="184"/>
      <c r="BH18" s="184"/>
      <c r="BI18" s="184"/>
      <c r="BJ18" s="184"/>
      <c r="BK18" s="183"/>
      <c r="BL18" s="219"/>
      <c r="BM18" s="435"/>
      <c r="BN18" s="436"/>
      <c r="BO18" s="436"/>
      <c r="BP18" s="436"/>
      <c r="BQ18" s="184"/>
      <c r="BR18" s="183"/>
      <c r="BS18" s="219"/>
      <c r="BT18" s="183"/>
      <c r="BU18" s="184"/>
      <c r="BV18" s="184"/>
      <c r="BW18" s="184"/>
      <c r="BX18" s="184"/>
      <c r="BY18" s="219"/>
      <c r="BZ18" s="219"/>
    </row>
    <row r="19" spans="1:78" ht="13">
      <c r="A19" s="124" t="s">
        <v>12</v>
      </c>
      <c r="B19" s="435"/>
      <c r="C19" s="436"/>
      <c r="D19" s="436"/>
      <c r="E19" s="436"/>
      <c r="F19" s="184"/>
      <c r="G19" s="437"/>
      <c r="H19" s="219"/>
      <c r="I19" s="436"/>
      <c r="J19" s="436"/>
      <c r="K19" s="436"/>
      <c r="L19" s="436"/>
      <c r="M19" s="184"/>
      <c r="N19" s="437"/>
      <c r="O19" s="219"/>
      <c r="P19" s="435"/>
      <c r="Q19" s="436"/>
      <c r="R19" s="436"/>
      <c r="S19" s="436"/>
      <c r="T19" s="184"/>
      <c r="U19" s="435"/>
      <c r="V19" s="219"/>
      <c r="W19" s="435"/>
      <c r="X19" s="436"/>
      <c r="Y19" s="436"/>
      <c r="Z19" s="436"/>
      <c r="AA19" s="184"/>
      <c r="AB19" s="435"/>
      <c r="AC19" s="219"/>
      <c r="AD19" s="436"/>
      <c r="AE19" s="436"/>
      <c r="AF19" s="436"/>
      <c r="AG19" s="436"/>
      <c r="AH19" s="184"/>
      <c r="AI19" s="219"/>
      <c r="AJ19" s="219"/>
      <c r="AK19" s="183"/>
      <c r="AL19" s="184"/>
      <c r="AM19" s="184"/>
      <c r="AN19" s="184"/>
      <c r="AO19" s="184"/>
      <c r="AP19" s="219"/>
      <c r="AQ19" s="185"/>
      <c r="AR19" s="435"/>
      <c r="AS19" s="436"/>
      <c r="AT19" s="436"/>
      <c r="AU19" s="436"/>
      <c r="AV19" s="184"/>
      <c r="AW19" s="183"/>
      <c r="AX19" s="219"/>
      <c r="AY19" s="435"/>
      <c r="AZ19" s="436"/>
      <c r="BA19" s="436"/>
      <c r="BB19" s="436"/>
      <c r="BC19" s="184"/>
      <c r="BD19" s="183"/>
      <c r="BE19" s="219"/>
      <c r="BF19" s="183"/>
      <c r="BG19" s="184"/>
      <c r="BH19" s="184"/>
      <c r="BI19" s="184"/>
      <c r="BJ19" s="184"/>
      <c r="BK19" s="183"/>
      <c r="BL19" s="219"/>
      <c r="BM19" s="435"/>
      <c r="BN19" s="436"/>
      <c r="BO19" s="436"/>
      <c r="BP19" s="436"/>
      <c r="BQ19" s="184"/>
      <c r="BR19" s="183"/>
      <c r="BS19" s="219"/>
      <c r="BT19" s="183"/>
      <c r="BU19" s="184"/>
      <c r="BV19" s="184"/>
      <c r="BW19" s="184"/>
      <c r="BX19" s="184"/>
      <c r="BY19" s="219"/>
      <c r="BZ19" s="219"/>
    </row>
    <row r="20" spans="1:78" ht="13">
      <c r="A20" s="124" t="s">
        <v>13</v>
      </c>
      <c r="B20" s="435"/>
      <c r="C20" s="436"/>
      <c r="D20" s="436"/>
      <c r="E20" s="436"/>
      <c r="F20" s="184"/>
      <c r="G20" s="437"/>
      <c r="H20" s="219"/>
      <c r="I20" s="436"/>
      <c r="J20" s="436"/>
      <c r="K20" s="436"/>
      <c r="L20" s="436"/>
      <c r="M20" s="184"/>
      <c r="N20" s="219"/>
      <c r="O20" s="219"/>
      <c r="P20" s="435"/>
      <c r="Q20" s="436"/>
      <c r="R20" s="436"/>
      <c r="S20" s="436"/>
      <c r="T20" s="184"/>
      <c r="U20" s="435"/>
      <c r="V20" s="219"/>
      <c r="W20" s="435"/>
      <c r="X20" s="436"/>
      <c r="Y20" s="436"/>
      <c r="Z20" s="436"/>
      <c r="AA20" s="184"/>
      <c r="AB20" s="435"/>
      <c r="AC20" s="219"/>
      <c r="AD20" s="436"/>
      <c r="AE20" s="436"/>
      <c r="AF20" s="436"/>
      <c r="AG20" s="436"/>
      <c r="AH20" s="184"/>
      <c r="AI20" s="219"/>
      <c r="AJ20" s="219"/>
      <c r="AK20" s="183"/>
      <c r="AL20" s="184"/>
      <c r="AM20" s="184"/>
      <c r="AN20" s="184"/>
      <c r="AO20" s="184"/>
      <c r="AP20" s="219"/>
      <c r="AQ20" s="185"/>
      <c r="AR20" s="184"/>
      <c r="AS20" s="184"/>
      <c r="AT20" s="184"/>
      <c r="AU20" s="184"/>
      <c r="AV20" s="184"/>
      <c r="AW20" s="183"/>
      <c r="AX20" s="219"/>
      <c r="AY20" s="435"/>
      <c r="AZ20" s="436"/>
      <c r="BA20" s="436"/>
      <c r="BB20" s="436"/>
      <c r="BC20" s="184"/>
      <c r="BD20" s="183"/>
      <c r="BE20" s="219"/>
      <c r="BF20" s="183"/>
      <c r="BG20" s="184"/>
      <c r="BH20" s="184"/>
      <c r="BI20" s="184"/>
      <c r="BJ20" s="184"/>
      <c r="BK20" s="183"/>
      <c r="BL20" s="219"/>
      <c r="BM20" s="435"/>
      <c r="BN20" s="436"/>
      <c r="BO20" s="436"/>
      <c r="BP20" s="436"/>
      <c r="BQ20" s="184"/>
      <c r="BR20" s="183"/>
      <c r="BS20" s="219"/>
      <c r="BT20" s="183"/>
      <c r="BU20" s="184"/>
      <c r="BV20" s="184"/>
      <c r="BW20" s="184"/>
      <c r="BX20" s="184"/>
      <c r="BY20" s="219"/>
      <c r="BZ20" s="219"/>
    </row>
    <row r="21" spans="1:78" ht="13">
      <c r="A21" s="124" t="s">
        <v>103</v>
      </c>
      <c r="B21" s="183"/>
      <c r="C21" s="184"/>
      <c r="D21" s="184"/>
      <c r="E21" s="184"/>
      <c r="F21" s="184"/>
      <c r="G21" s="219"/>
      <c r="H21" s="219"/>
      <c r="I21" s="436"/>
      <c r="J21" s="436"/>
      <c r="K21" s="436"/>
      <c r="L21" s="436"/>
      <c r="M21" s="184"/>
      <c r="N21" s="219"/>
      <c r="O21" s="219"/>
      <c r="P21" s="435"/>
      <c r="Q21" s="436"/>
      <c r="R21" s="436"/>
      <c r="S21" s="436"/>
      <c r="T21" s="184"/>
      <c r="U21" s="435"/>
      <c r="V21" s="219"/>
      <c r="W21" s="435"/>
      <c r="X21" s="436"/>
      <c r="Y21" s="436"/>
      <c r="Z21" s="436"/>
      <c r="AA21" s="184"/>
      <c r="AB21" s="435"/>
      <c r="AC21" s="219"/>
      <c r="AD21" s="436"/>
      <c r="AE21" s="436"/>
      <c r="AF21" s="436"/>
      <c r="AG21" s="436"/>
      <c r="AH21" s="184"/>
      <c r="AI21" s="219"/>
      <c r="AJ21" s="219"/>
      <c r="AK21" s="183"/>
      <c r="AL21" s="184"/>
      <c r="AM21" s="184"/>
      <c r="AN21" s="184"/>
      <c r="AO21" s="184"/>
      <c r="AP21" s="219"/>
      <c r="AQ21" s="185"/>
      <c r="AR21" s="184"/>
      <c r="AS21" s="184"/>
      <c r="AT21" s="184"/>
      <c r="AU21" s="184"/>
      <c r="AV21" s="184"/>
      <c r="AW21" s="183"/>
      <c r="AX21" s="219"/>
      <c r="AY21" s="435"/>
      <c r="AZ21" s="436"/>
      <c r="BA21" s="436"/>
      <c r="BB21" s="436"/>
      <c r="BC21" s="184"/>
      <c r="BD21" s="183"/>
      <c r="BE21" s="219"/>
      <c r="BF21" s="183"/>
      <c r="BG21" s="184"/>
      <c r="BH21" s="184"/>
      <c r="BI21" s="184"/>
      <c r="BJ21" s="184"/>
      <c r="BK21" s="183"/>
      <c r="BL21" s="219"/>
      <c r="BM21" s="435"/>
      <c r="BN21" s="436"/>
      <c r="BO21" s="436"/>
      <c r="BP21" s="436"/>
      <c r="BQ21" s="184"/>
      <c r="BR21" s="183"/>
      <c r="BS21" s="219"/>
      <c r="BT21" s="183"/>
      <c r="BU21" s="184"/>
      <c r="BV21" s="184"/>
      <c r="BW21" s="184"/>
      <c r="BX21" s="184"/>
      <c r="BY21" s="219"/>
      <c r="BZ21" s="219"/>
    </row>
    <row r="22" spans="1:78" ht="13">
      <c r="A22" s="124" t="s">
        <v>104</v>
      </c>
      <c r="B22" s="183"/>
      <c r="C22" s="184"/>
      <c r="D22" s="184"/>
      <c r="E22" s="184"/>
      <c r="F22" s="184"/>
      <c r="G22" s="219"/>
      <c r="H22" s="219"/>
      <c r="I22" s="436"/>
      <c r="J22" s="436"/>
      <c r="K22" s="436"/>
      <c r="L22" s="436"/>
      <c r="M22" s="184"/>
      <c r="N22" s="219"/>
      <c r="O22" s="219"/>
      <c r="P22" s="435"/>
      <c r="Q22" s="436"/>
      <c r="R22" s="436"/>
      <c r="S22" s="436"/>
      <c r="T22" s="184"/>
      <c r="U22" s="183"/>
      <c r="V22" s="219"/>
      <c r="W22" s="435"/>
      <c r="X22" s="436"/>
      <c r="Y22" s="436"/>
      <c r="Z22" s="436"/>
      <c r="AA22" s="184"/>
      <c r="AB22" s="435"/>
      <c r="AC22" s="219"/>
      <c r="AD22" s="436"/>
      <c r="AE22" s="436"/>
      <c r="AF22" s="436"/>
      <c r="AG22" s="436"/>
      <c r="AH22" s="184"/>
      <c r="AI22" s="219"/>
      <c r="AJ22" s="219"/>
      <c r="AK22" s="183"/>
      <c r="AL22" s="184"/>
      <c r="AM22" s="184"/>
      <c r="AN22" s="184"/>
      <c r="AO22" s="184"/>
      <c r="AP22" s="219"/>
      <c r="AQ22" s="185"/>
      <c r="AR22" s="184"/>
      <c r="AS22" s="184"/>
      <c r="AT22" s="184"/>
      <c r="AU22" s="184"/>
      <c r="AV22" s="184"/>
      <c r="AW22" s="183"/>
      <c r="AX22" s="219"/>
      <c r="AY22" s="435"/>
      <c r="AZ22" s="436"/>
      <c r="BA22" s="436"/>
      <c r="BB22" s="436"/>
      <c r="BC22" s="184"/>
      <c r="BD22" s="183"/>
      <c r="BE22" s="219"/>
      <c r="BF22" s="183"/>
      <c r="BG22" s="184"/>
      <c r="BH22" s="184"/>
      <c r="BI22" s="184"/>
      <c r="BJ22" s="184"/>
      <c r="BK22" s="183"/>
      <c r="BL22" s="219"/>
      <c r="BM22" s="435"/>
      <c r="BN22" s="436"/>
      <c r="BO22" s="436"/>
      <c r="BP22" s="436"/>
      <c r="BQ22" s="184"/>
      <c r="BR22" s="183"/>
      <c r="BS22" s="219"/>
      <c r="BT22" s="183"/>
      <c r="BU22" s="184"/>
      <c r="BV22" s="184"/>
      <c r="BW22" s="184"/>
      <c r="BX22" s="184"/>
      <c r="BY22" s="219"/>
      <c r="BZ22" s="219"/>
    </row>
    <row r="23" spans="1:78" ht="13">
      <c r="A23" s="124" t="s">
        <v>14</v>
      </c>
      <c r="B23" s="183"/>
      <c r="C23" s="184"/>
      <c r="D23" s="184"/>
      <c r="E23" s="184"/>
      <c r="F23" s="184"/>
      <c r="G23" s="219"/>
      <c r="H23" s="219"/>
      <c r="I23" s="436"/>
      <c r="J23" s="436"/>
      <c r="K23" s="436"/>
      <c r="L23" s="436"/>
      <c r="M23" s="184"/>
      <c r="N23" s="437"/>
      <c r="O23" s="219"/>
      <c r="P23" s="435"/>
      <c r="Q23" s="436"/>
      <c r="R23" s="436"/>
      <c r="S23" s="436"/>
      <c r="T23" s="184"/>
      <c r="U23" s="183"/>
      <c r="V23" s="219"/>
      <c r="W23" s="435"/>
      <c r="X23" s="436"/>
      <c r="Y23" s="436"/>
      <c r="Z23" s="436"/>
      <c r="AA23" s="184"/>
      <c r="AB23" s="435"/>
      <c r="AC23" s="219"/>
      <c r="AD23" s="436"/>
      <c r="AE23" s="436"/>
      <c r="AF23" s="436"/>
      <c r="AG23" s="436"/>
      <c r="AH23" s="184"/>
      <c r="AI23" s="219"/>
      <c r="AJ23" s="219"/>
      <c r="AK23" s="183"/>
      <c r="AL23" s="184"/>
      <c r="AM23" s="184"/>
      <c r="AN23" s="184"/>
      <c r="AO23" s="184"/>
      <c r="AP23" s="219"/>
      <c r="AQ23" s="185"/>
      <c r="AR23" s="184"/>
      <c r="AS23" s="184"/>
      <c r="AT23" s="184"/>
      <c r="AU23" s="184"/>
      <c r="AV23" s="184"/>
      <c r="AW23" s="183"/>
      <c r="AX23" s="219"/>
      <c r="AY23" s="435"/>
      <c r="AZ23" s="436"/>
      <c r="BA23" s="436"/>
      <c r="BB23" s="436"/>
      <c r="BC23" s="184"/>
      <c r="BD23" s="183"/>
      <c r="BE23" s="219"/>
      <c r="BF23" s="183"/>
      <c r="BG23" s="184"/>
      <c r="BH23" s="184"/>
      <c r="BI23" s="184"/>
      <c r="BJ23" s="184"/>
      <c r="BK23" s="183"/>
      <c r="BL23" s="219"/>
      <c r="BM23" s="435"/>
      <c r="BN23" s="436"/>
      <c r="BO23" s="436"/>
      <c r="BP23" s="436"/>
      <c r="BQ23" s="184"/>
      <c r="BR23" s="183"/>
      <c r="BS23" s="219"/>
      <c r="BT23" s="183"/>
      <c r="BU23" s="184"/>
      <c r="BV23" s="184"/>
      <c r="BW23" s="184"/>
      <c r="BX23" s="184"/>
      <c r="BY23" s="219"/>
      <c r="BZ23" s="219"/>
    </row>
    <row r="24" spans="1:78" ht="13">
      <c r="A24" s="106" t="s">
        <v>15</v>
      </c>
      <c r="B24" s="183"/>
      <c r="C24" s="184"/>
      <c r="D24" s="184"/>
      <c r="E24" s="184"/>
      <c r="F24" s="184"/>
      <c r="G24" s="219"/>
      <c r="H24" s="219"/>
      <c r="I24" s="184"/>
      <c r="J24" s="184"/>
      <c r="K24" s="184"/>
      <c r="L24" s="184"/>
      <c r="M24" s="184"/>
      <c r="N24" s="219"/>
      <c r="O24" s="219"/>
      <c r="P24" s="435"/>
      <c r="Q24" s="436"/>
      <c r="R24" s="436"/>
      <c r="S24" s="436"/>
      <c r="T24" s="184"/>
      <c r="U24" s="435"/>
      <c r="V24" s="219"/>
      <c r="W24" s="435"/>
      <c r="X24" s="436"/>
      <c r="Y24" s="436"/>
      <c r="Z24" s="436"/>
      <c r="AA24" s="184"/>
      <c r="AB24" s="435"/>
      <c r="AC24" s="219"/>
      <c r="AD24" s="436"/>
      <c r="AE24" s="436"/>
      <c r="AF24" s="436"/>
      <c r="AG24" s="436"/>
      <c r="AH24" s="184"/>
      <c r="AI24" s="219"/>
      <c r="AJ24" s="219"/>
      <c r="AK24" s="183"/>
      <c r="AL24" s="184"/>
      <c r="AM24" s="184"/>
      <c r="AN24" s="184"/>
      <c r="AO24" s="184"/>
      <c r="AP24" s="219"/>
      <c r="AQ24" s="185"/>
      <c r="AR24" s="184"/>
      <c r="AS24" s="184"/>
      <c r="AT24" s="184"/>
      <c r="AU24" s="184"/>
      <c r="AV24" s="184"/>
      <c r="AW24" s="219"/>
      <c r="AX24" s="184"/>
      <c r="AY24" s="183"/>
      <c r="AZ24" s="184"/>
      <c r="BA24" s="184"/>
      <c r="BB24" s="184"/>
      <c r="BC24" s="184"/>
      <c r="BD24" s="183"/>
      <c r="BE24" s="219"/>
      <c r="BF24" s="183"/>
      <c r="BG24" s="184"/>
      <c r="BH24" s="184"/>
      <c r="BI24" s="184"/>
      <c r="BJ24" s="184"/>
      <c r="BK24" s="183"/>
      <c r="BL24" s="219"/>
      <c r="BM24" s="435"/>
      <c r="BN24" s="436"/>
      <c r="BO24" s="436"/>
      <c r="BP24" s="436"/>
      <c r="BQ24" s="184"/>
      <c r="BR24" s="183"/>
      <c r="BS24" s="219"/>
      <c r="BT24" s="183"/>
      <c r="BU24" s="184"/>
      <c r="BV24" s="184"/>
      <c r="BW24" s="184"/>
      <c r="BX24" s="184"/>
      <c r="BY24" s="219"/>
      <c r="BZ24" s="219"/>
    </row>
    <row r="25" spans="1:78" ht="13">
      <c r="A25" s="124" t="s">
        <v>16</v>
      </c>
      <c r="B25" s="183"/>
      <c r="C25" s="184"/>
      <c r="D25" s="184"/>
      <c r="E25" s="184"/>
      <c r="F25" s="184"/>
      <c r="G25" s="219"/>
      <c r="H25" s="219"/>
      <c r="I25" s="184"/>
      <c r="J25" s="184"/>
      <c r="K25" s="184"/>
      <c r="L25" s="184"/>
      <c r="M25" s="184"/>
      <c r="N25" s="219"/>
      <c r="O25" s="219"/>
      <c r="P25" s="435"/>
      <c r="Q25" s="436"/>
      <c r="R25" s="436"/>
      <c r="S25" s="436"/>
      <c r="T25" s="184"/>
      <c r="U25" s="183"/>
      <c r="V25" s="219"/>
      <c r="W25" s="435"/>
      <c r="X25" s="436"/>
      <c r="Y25" s="436"/>
      <c r="Z25" s="436"/>
      <c r="AA25" s="184"/>
      <c r="AB25" s="435"/>
      <c r="AC25" s="219"/>
      <c r="AD25" s="436"/>
      <c r="AE25" s="436"/>
      <c r="AF25" s="436"/>
      <c r="AG25" s="436"/>
      <c r="AH25" s="184"/>
      <c r="AI25" s="219"/>
      <c r="AJ25" s="219"/>
      <c r="AK25" s="183"/>
      <c r="AL25" s="184"/>
      <c r="AM25" s="184"/>
      <c r="AN25" s="184"/>
      <c r="AO25" s="184"/>
      <c r="AP25" s="219"/>
      <c r="AQ25" s="185"/>
      <c r="AR25" s="184"/>
      <c r="AS25" s="184"/>
      <c r="AT25" s="184"/>
      <c r="AU25" s="184"/>
      <c r="AV25" s="184"/>
      <c r="AW25" s="219"/>
      <c r="AX25" s="184"/>
      <c r="AY25" s="183"/>
      <c r="AZ25" s="184"/>
      <c r="BA25" s="184"/>
      <c r="BB25" s="184"/>
      <c r="BC25" s="184"/>
      <c r="BD25" s="183"/>
      <c r="BE25" s="219"/>
      <c r="BF25" s="183"/>
      <c r="BG25" s="184"/>
      <c r="BH25" s="184"/>
      <c r="BI25" s="184"/>
      <c r="BJ25" s="184"/>
      <c r="BK25" s="183"/>
      <c r="BL25" s="219"/>
      <c r="BM25" s="183"/>
      <c r="BN25" s="184"/>
      <c r="BO25" s="184"/>
      <c r="BP25" s="184"/>
      <c r="BQ25" s="184"/>
      <c r="BR25" s="183"/>
      <c r="BS25" s="219"/>
      <c r="BT25" s="183"/>
      <c r="BU25" s="184"/>
      <c r="BV25" s="184"/>
      <c r="BW25" s="184"/>
      <c r="BX25" s="184"/>
      <c r="BY25" s="219"/>
      <c r="BZ25" s="219"/>
    </row>
    <row r="26" spans="1:78" ht="13">
      <c r="A26" s="124" t="s">
        <v>17</v>
      </c>
      <c r="B26" s="183"/>
      <c r="C26" s="184"/>
      <c r="D26" s="184"/>
      <c r="E26" s="184"/>
      <c r="F26" s="184"/>
      <c r="G26" s="219"/>
      <c r="H26" s="219"/>
      <c r="I26" s="184"/>
      <c r="J26" s="184"/>
      <c r="K26" s="184"/>
      <c r="L26" s="184"/>
      <c r="M26" s="184"/>
      <c r="N26" s="219"/>
      <c r="O26" s="219"/>
      <c r="P26" s="435"/>
      <c r="Q26" s="436"/>
      <c r="R26" s="436"/>
      <c r="S26" s="436"/>
      <c r="T26" s="184"/>
      <c r="U26" s="183"/>
      <c r="V26" s="219"/>
      <c r="W26" s="435"/>
      <c r="X26" s="436"/>
      <c r="Y26" s="436"/>
      <c r="Z26" s="436"/>
      <c r="AA26" s="184"/>
      <c r="AB26" s="435"/>
      <c r="AC26" s="219"/>
      <c r="AD26" s="436"/>
      <c r="AE26" s="436"/>
      <c r="AF26" s="436"/>
      <c r="AG26" s="436"/>
      <c r="AH26" s="184"/>
      <c r="AI26" s="219"/>
      <c r="AJ26" s="219"/>
      <c r="AK26" s="183"/>
      <c r="AL26" s="184"/>
      <c r="AM26" s="184"/>
      <c r="AN26" s="184"/>
      <c r="AO26" s="184"/>
      <c r="AP26" s="219"/>
      <c r="AQ26" s="185"/>
      <c r="AR26" s="184"/>
      <c r="AS26" s="184"/>
      <c r="AT26" s="184"/>
      <c r="AU26" s="184"/>
      <c r="AV26" s="184"/>
      <c r="AW26" s="219"/>
      <c r="AX26" s="184"/>
      <c r="AY26" s="183"/>
      <c r="AZ26" s="184"/>
      <c r="BA26" s="184"/>
      <c r="BB26" s="184"/>
      <c r="BC26" s="184"/>
      <c r="BD26" s="183"/>
      <c r="BE26" s="219"/>
      <c r="BF26" s="183"/>
      <c r="BG26" s="184"/>
      <c r="BH26" s="184"/>
      <c r="BI26" s="184"/>
      <c r="BJ26" s="184"/>
      <c r="BK26" s="183"/>
      <c r="BL26" s="219"/>
      <c r="BM26" s="183"/>
      <c r="BN26" s="184"/>
      <c r="BO26" s="184"/>
      <c r="BP26" s="184"/>
      <c r="BQ26" s="184"/>
      <c r="BR26" s="183"/>
      <c r="BS26" s="219"/>
      <c r="BT26" s="183"/>
      <c r="BU26" s="184"/>
      <c r="BV26" s="184"/>
      <c r="BW26" s="184"/>
      <c r="BX26" s="184"/>
      <c r="BY26" s="219"/>
      <c r="BZ26" s="219"/>
    </row>
    <row r="27" spans="1:78" ht="13">
      <c r="A27" s="124" t="s">
        <v>18</v>
      </c>
      <c r="B27" s="183"/>
      <c r="C27" s="184"/>
      <c r="D27" s="184"/>
      <c r="E27" s="184"/>
      <c r="F27" s="184"/>
      <c r="G27" s="219"/>
      <c r="H27" s="219"/>
      <c r="I27" s="184"/>
      <c r="J27" s="184"/>
      <c r="K27" s="184"/>
      <c r="L27" s="184"/>
      <c r="M27" s="184"/>
      <c r="N27" s="219"/>
      <c r="O27" s="219"/>
      <c r="P27" s="435"/>
      <c r="Q27" s="436"/>
      <c r="R27" s="436"/>
      <c r="S27" s="436"/>
      <c r="T27" s="184"/>
      <c r="U27" s="183"/>
      <c r="V27" s="219"/>
      <c r="W27" s="435"/>
      <c r="X27" s="436"/>
      <c r="Y27" s="436"/>
      <c r="Z27" s="436"/>
      <c r="AA27" s="184"/>
      <c r="AB27" s="435"/>
      <c r="AC27" s="219"/>
      <c r="AD27" s="436"/>
      <c r="AE27" s="436"/>
      <c r="AF27" s="436"/>
      <c r="AG27" s="436"/>
      <c r="AH27" s="184"/>
      <c r="AI27" s="219"/>
      <c r="AJ27" s="219"/>
      <c r="AK27" s="183"/>
      <c r="AL27" s="184"/>
      <c r="AM27" s="184"/>
      <c r="AN27" s="184"/>
      <c r="AO27" s="184"/>
      <c r="AP27" s="219"/>
      <c r="AQ27" s="185"/>
      <c r="AR27" s="184"/>
      <c r="AS27" s="184"/>
      <c r="AT27" s="184"/>
      <c r="AU27" s="184"/>
      <c r="AV27" s="184"/>
      <c r="AW27" s="219"/>
      <c r="AX27" s="184"/>
      <c r="AY27" s="183"/>
      <c r="AZ27" s="184"/>
      <c r="BA27" s="184"/>
      <c r="BB27" s="184"/>
      <c r="BC27" s="184"/>
      <c r="BD27" s="183"/>
      <c r="BE27" s="219"/>
      <c r="BF27" s="183"/>
      <c r="BG27" s="184"/>
      <c r="BH27" s="184"/>
      <c r="BI27" s="184"/>
      <c r="BJ27" s="184"/>
      <c r="BK27" s="183"/>
      <c r="BL27" s="219"/>
      <c r="BM27" s="183"/>
      <c r="BN27" s="184"/>
      <c r="BO27" s="184"/>
      <c r="BP27" s="184"/>
      <c r="BQ27" s="184"/>
      <c r="BR27" s="183"/>
      <c r="BS27" s="219"/>
      <c r="BT27" s="183"/>
      <c r="BU27" s="184"/>
      <c r="BV27" s="184"/>
      <c r="BW27" s="184"/>
      <c r="BX27" s="184"/>
      <c r="BY27" s="219"/>
      <c r="BZ27" s="219"/>
    </row>
    <row r="28" spans="1:78" ht="13">
      <c r="A28" s="124" t="s">
        <v>19</v>
      </c>
      <c r="B28" s="183"/>
      <c r="C28" s="184"/>
      <c r="D28" s="184"/>
      <c r="E28" s="184"/>
      <c r="F28" s="184"/>
      <c r="G28" s="219"/>
      <c r="H28" s="219"/>
      <c r="I28" s="184"/>
      <c r="J28" s="184"/>
      <c r="K28" s="184"/>
      <c r="L28" s="184"/>
      <c r="M28" s="184"/>
      <c r="N28" s="219"/>
      <c r="O28" s="219"/>
      <c r="P28" s="435"/>
      <c r="Q28" s="436"/>
      <c r="R28" s="436"/>
      <c r="S28" s="436"/>
      <c r="T28" s="184"/>
      <c r="U28" s="183"/>
      <c r="V28" s="219"/>
      <c r="W28" s="435"/>
      <c r="X28" s="436"/>
      <c r="Y28" s="436"/>
      <c r="Z28" s="436"/>
      <c r="AA28" s="436"/>
      <c r="AB28" s="435"/>
      <c r="AC28" s="219"/>
      <c r="AD28" s="184"/>
      <c r="AE28" s="184"/>
      <c r="AF28" s="184"/>
      <c r="AG28" s="184"/>
      <c r="AH28" s="184"/>
      <c r="AI28" s="219"/>
      <c r="AJ28" s="219"/>
      <c r="AK28" s="183"/>
      <c r="AL28" s="184"/>
      <c r="AM28" s="184"/>
      <c r="AN28" s="184"/>
      <c r="AO28" s="184"/>
      <c r="AP28" s="219"/>
      <c r="AQ28" s="185"/>
      <c r="AR28" s="184"/>
      <c r="AS28" s="184"/>
      <c r="AT28" s="184"/>
      <c r="AU28" s="184"/>
      <c r="AV28" s="184"/>
      <c r="AW28" s="219"/>
      <c r="AX28" s="184"/>
      <c r="AY28" s="183"/>
      <c r="AZ28" s="184"/>
      <c r="BA28" s="184"/>
      <c r="BB28" s="184"/>
      <c r="BC28" s="184"/>
      <c r="BD28" s="183"/>
      <c r="BE28" s="219"/>
      <c r="BF28" s="183"/>
      <c r="BG28" s="184"/>
      <c r="BH28" s="184"/>
      <c r="BI28" s="184"/>
      <c r="BJ28" s="184"/>
      <c r="BK28" s="183"/>
      <c r="BL28" s="219"/>
      <c r="BM28" s="183"/>
      <c r="BN28" s="184"/>
      <c r="BO28" s="184"/>
      <c r="BP28" s="184"/>
      <c r="BQ28" s="184"/>
      <c r="BR28" s="183"/>
      <c r="BS28" s="219"/>
      <c r="BT28" s="183"/>
      <c r="BU28" s="184"/>
      <c r="BV28" s="184"/>
      <c r="BW28" s="184"/>
      <c r="BX28" s="184"/>
      <c r="BY28" s="219"/>
      <c r="BZ28" s="219"/>
    </row>
    <row r="29" spans="1:78" ht="13">
      <c r="A29" s="124" t="s">
        <v>20</v>
      </c>
      <c r="B29" s="183"/>
      <c r="C29" s="184"/>
      <c r="D29" s="184"/>
      <c r="E29" s="184"/>
      <c r="F29" s="184"/>
      <c r="G29" s="219"/>
      <c r="H29" s="219"/>
      <c r="I29" s="184"/>
      <c r="J29" s="184"/>
      <c r="K29" s="184"/>
      <c r="L29" s="184"/>
      <c r="M29" s="184"/>
      <c r="N29" s="219"/>
      <c r="O29" s="219"/>
      <c r="P29" s="435"/>
      <c r="Q29" s="436"/>
      <c r="R29" s="436"/>
      <c r="S29" s="436"/>
      <c r="T29" s="184"/>
      <c r="U29" s="183"/>
      <c r="V29" s="219"/>
      <c r="W29" s="435"/>
      <c r="X29" s="436"/>
      <c r="Y29" s="436"/>
      <c r="Z29" s="436"/>
      <c r="AA29" s="436"/>
      <c r="AB29" s="435"/>
      <c r="AC29" s="219"/>
      <c r="AD29" s="184"/>
      <c r="AE29" s="184"/>
      <c r="AF29" s="184"/>
      <c r="AG29" s="184"/>
      <c r="AH29" s="184"/>
      <c r="AI29" s="219"/>
      <c r="AJ29" s="219"/>
      <c r="AK29" s="183"/>
      <c r="AL29" s="184"/>
      <c r="AM29" s="184"/>
      <c r="AN29" s="184"/>
      <c r="AO29" s="184"/>
      <c r="AP29" s="219"/>
      <c r="AQ29" s="185"/>
      <c r="AR29" s="184"/>
      <c r="AS29" s="184"/>
      <c r="AT29" s="184"/>
      <c r="AU29" s="184"/>
      <c r="AV29" s="184"/>
      <c r="AW29" s="219"/>
      <c r="AX29" s="184"/>
      <c r="AY29" s="183"/>
      <c r="AZ29" s="184"/>
      <c r="BA29" s="184"/>
      <c r="BB29" s="184"/>
      <c r="BC29" s="184"/>
      <c r="BD29" s="183"/>
      <c r="BE29" s="219"/>
      <c r="BF29" s="183"/>
      <c r="BG29" s="184"/>
      <c r="BH29" s="184"/>
      <c r="BI29" s="184"/>
      <c r="BJ29" s="184"/>
      <c r="BK29" s="183"/>
      <c r="BL29" s="219"/>
      <c r="BM29" s="183"/>
      <c r="BN29" s="184"/>
      <c r="BO29" s="184"/>
      <c r="BP29" s="184"/>
      <c r="BQ29" s="184"/>
      <c r="BR29" s="183"/>
      <c r="BS29" s="219"/>
      <c r="BT29" s="183"/>
      <c r="BU29" s="184"/>
      <c r="BV29" s="184"/>
      <c r="BW29" s="184"/>
      <c r="BX29" s="184"/>
      <c r="BY29" s="219"/>
      <c r="BZ29" s="219"/>
    </row>
    <row r="30" spans="1:78" ht="13">
      <c r="A30" s="124" t="s">
        <v>21</v>
      </c>
      <c r="B30" s="183"/>
      <c r="C30" s="184"/>
      <c r="D30" s="184"/>
      <c r="E30" s="184"/>
      <c r="F30" s="184"/>
      <c r="G30" s="219"/>
      <c r="H30" s="219"/>
      <c r="I30" s="184"/>
      <c r="J30" s="184"/>
      <c r="K30" s="184"/>
      <c r="L30" s="184"/>
      <c r="M30" s="184"/>
      <c r="N30" s="219"/>
      <c r="O30" s="219"/>
      <c r="P30" s="435"/>
      <c r="Q30" s="436"/>
      <c r="R30" s="436"/>
      <c r="S30" s="436"/>
      <c r="T30" s="184"/>
      <c r="U30" s="183"/>
      <c r="V30" s="219"/>
      <c r="W30" s="435"/>
      <c r="X30" s="436"/>
      <c r="Y30" s="436"/>
      <c r="Z30" s="436"/>
      <c r="AA30" s="184"/>
      <c r="AB30" s="435"/>
      <c r="AC30" s="219"/>
      <c r="AD30" s="184"/>
      <c r="AE30" s="184"/>
      <c r="AF30" s="184"/>
      <c r="AG30" s="184"/>
      <c r="AH30" s="184"/>
      <c r="AI30" s="219"/>
      <c r="AJ30" s="219"/>
      <c r="AK30" s="183"/>
      <c r="AL30" s="184"/>
      <c r="AM30" s="184"/>
      <c r="AN30" s="184"/>
      <c r="AO30" s="184"/>
      <c r="AP30" s="219"/>
      <c r="AQ30" s="185"/>
      <c r="AR30" s="184"/>
      <c r="AS30" s="184"/>
      <c r="AT30" s="184"/>
      <c r="AU30" s="184"/>
      <c r="AV30" s="184"/>
      <c r="AW30" s="219"/>
      <c r="AX30" s="184"/>
      <c r="AY30" s="183"/>
      <c r="AZ30" s="184"/>
      <c r="BA30" s="184"/>
      <c r="BB30" s="184"/>
      <c r="BC30" s="184"/>
      <c r="BD30" s="183"/>
      <c r="BE30" s="219"/>
      <c r="BF30" s="183"/>
      <c r="BG30" s="184"/>
      <c r="BH30" s="184"/>
      <c r="BI30" s="184"/>
      <c r="BJ30" s="184"/>
      <c r="BK30" s="183"/>
      <c r="BL30" s="219"/>
      <c r="BM30" s="183"/>
      <c r="BN30" s="184"/>
      <c r="BO30" s="184"/>
      <c r="BP30" s="184"/>
      <c r="BQ30" s="184"/>
      <c r="BR30" s="183"/>
      <c r="BS30" s="219"/>
      <c r="BT30" s="183"/>
      <c r="BU30" s="184"/>
      <c r="BV30" s="184"/>
      <c r="BW30" s="184"/>
      <c r="BX30" s="184"/>
      <c r="BY30" s="219"/>
      <c r="BZ30" s="219"/>
    </row>
    <row r="31" spans="1:78" ht="13">
      <c r="A31" s="124" t="s">
        <v>22</v>
      </c>
      <c r="B31" s="183"/>
      <c r="C31" s="184"/>
      <c r="D31" s="184"/>
      <c r="E31" s="184"/>
      <c r="F31" s="184"/>
      <c r="G31" s="219"/>
      <c r="H31" s="219"/>
      <c r="I31" s="184"/>
      <c r="J31" s="184"/>
      <c r="K31" s="184"/>
      <c r="L31" s="184"/>
      <c r="M31" s="184"/>
      <c r="N31" s="219"/>
      <c r="O31" s="219"/>
      <c r="P31" s="183"/>
      <c r="Q31" s="184"/>
      <c r="R31" s="184"/>
      <c r="S31" s="184"/>
      <c r="T31" s="184"/>
      <c r="U31" s="183"/>
      <c r="V31" s="219"/>
      <c r="W31" s="435"/>
      <c r="X31" s="436"/>
      <c r="Y31" s="436"/>
      <c r="Z31" s="436"/>
      <c r="AA31" s="184"/>
      <c r="AB31" s="435"/>
      <c r="AC31" s="219"/>
      <c r="AD31" s="184"/>
      <c r="AE31" s="184"/>
      <c r="AF31" s="184"/>
      <c r="AG31" s="184"/>
      <c r="AH31" s="184"/>
      <c r="AI31" s="219"/>
      <c r="AJ31" s="219"/>
      <c r="AK31" s="183"/>
      <c r="AL31" s="184"/>
      <c r="AM31" s="184"/>
      <c r="AN31" s="184"/>
      <c r="AO31" s="184"/>
      <c r="AP31" s="219"/>
      <c r="AQ31" s="185"/>
      <c r="AR31" s="184"/>
      <c r="AS31" s="184"/>
      <c r="AT31" s="184"/>
      <c r="AU31" s="184"/>
      <c r="AV31" s="184"/>
      <c r="AW31" s="219"/>
      <c r="AX31" s="184"/>
      <c r="AY31" s="183"/>
      <c r="AZ31" s="184"/>
      <c r="BA31" s="184"/>
      <c r="BB31" s="184"/>
      <c r="BC31" s="184"/>
      <c r="BD31" s="183"/>
      <c r="BE31" s="219"/>
      <c r="BF31" s="183"/>
      <c r="BG31" s="184"/>
      <c r="BH31" s="184"/>
      <c r="BI31" s="184"/>
      <c r="BJ31" s="184"/>
      <c r="BK31" s="183"/>
      <c r="BL31" s="219"/>
      <c r="BM31" s="183"/>
      <c r="BN31" s="184"/>
      <c r="BO31" s="184"/>
      <c r="BP31" s="184"/>
      <c r="BQ31" s="184"/>
      <c r="BR31" s="183"/>
      <c r="BS31" s="219"/>
      <c r="BT31" s="183"/>
      <c r="BU31" s="184"/>
      <c r="BV31" s="184"/>
      <c r="BW31" s="184"/>
      <c r="BX31" s="184"/>
      <c r="BY31" s="219"/>
      <c r="BZ31" s="219"/>
    </row>
    <row r="32" spans="1:78" ht="13">
      <c r="A32" s="124" t="s">
        <v>23</v>
      </c>
      <c r="B32" s="183"/>
      <c r="C32" s="184"/>
      <c r="D32" s="184"/>
      <c r="E32" s="184"/>
      <c r="F32" s="184"/>
      <c r="G32" s="219"/>
      <c r="H32" s="219"/>
      <c r="I32" s="184"/>
      <c r="J32" s="184"/>
      <c r="K32" s="184"/>
      <c r="L32" s="184"/>
      <c r="M32" s="184"/>
      <c r="N32" s="219"/>
      <c r="O32" s="219"/>
      <c r="P32" s="183"/>
      <c r="Q32" s="184"/>
      <c r="R32" s="184"/>
      <c r="S32" s="184"/>
      <c r="T32" s="184"/>
      <c r="U32" s="183"/>
      <c r="V32" s="219"/>
      <c r="W32" s="183"/>
      <c r="X32" s="184"/>
      <c r="Y32" s="184"/>
      <c r="Z32" s="184"/>
      <c r="AA32" s="184"/>
      <c r="AB32" s="219"/>
      <c r="AC32" s="219"/>
      <c r="AD32" s="184"/>
      <c r="AE32" s="184"/>
      <c r="AF32" s="184"/>
      <c r="AG32" s="184"/>
      <c r="AH32" s="184"/>
      <c r="AI32" s="219"/>
      <c r="AJ32" s="219"/>
      <c r="AK32" s="183"/>
      <c r="AL32" s="184"/>
      <c r="AM32" s="184"/>
      <c r="AN32" s="184"/>
      <c r="AO32" s="184"/>
      <c r="AP32" s="219"/>
      <c r="AQ32" s="185"/>
      <c r="AR32" s="184"/>
      <c r="AS32" s="184"/>
      <c r="AT32" s="184"/>
      <c r="AU32" s="184"/>
      <c r="AV32" s="184"/>
      <c r="AW32" s="219"/>
      <c r="AX32" s="184"/>
      <c r="AY32" s="183"/>
      <c r="AZ32" s="184"/>
      <c r="BA32" s="184"/>
      <c r="BB32" s="184"/>
      <c r="BC32" s="184"/>
      <c r="BD32" s="183"/>
      <c r="BE32" s="219"/>
      <c r="BF32" s="183"/>
      <c r="BG32" s="184"/>
      <c r="BH32" s="184"/>
      <c r="BI32" s="184"/>
      <c r="BJ32" s="184"/>
      <c r="BK32" s="183"/>
      <c r="BL32" s="219"/>
      <c r="BM32" s="183"/>
      <c r="BN32" s="184"/>
      <c r="BO32" s="184"/>
      <c r="BP32" s="184"/>
      <c r="BQ32" s="184"/>
      <c r="BR32" s="183"/>
      <c r="BS32" s="219"/>
      <c r="BT32" s="183"/>
      <c r="BU32" s="184"/>
      <c r="BV32" s="184"/>
      <c r="BW32" s="184"/>
      <c r="BX32" s="184"/>
      <c r="BY32" s="219"/>
      <c r="BZ32" s="219"/>
    </row>
    <row r="33" spans="1:81" ht="13">
      <c r="A33" s="124" t="s">
        <v>24</v>
      </c>
      <c r="B33" s="183"/>
      <c r="C33" s="184"/>
      <c r="D33" s="184"/>
      <c r="E33" s="184"/>
      <c r="F33" s="184"/>
      <c r="G33" s="219"/>
      <c r="H33" s="219"/>
      <c r="I33" s="184"/>
      <c r="J33" s="184"/>
      <c r="K33" s="184"/>
      <c r="L33" s="184"/>
      <c r="M33" s="184"/>
      <c r="N33" s="219"/>
      <c r="O33" s="219"/>
      <c r="P33" s="183"/>
      <c r="Q33" s="184"/>
      <c r="R33" s="184"/>
      <c r="S33" s="184"/>
      <c r="T33" s="184"/>
      <c r="U33" s="183"/>
      <c r="V33" s="219"/>
      <c r="W33" s="183"/>
      <c r="X33" s="184"/>
      <c r="Y33" s="184"/>
      <c r="Z33" s="184"/>
      <c r="AA33" s="184"/>
      <c r="AB33" s="219"/>
      <c r="AC33" s="219"/>
      <c r="AD33" s="184"/>
      <c r="AE33" s="184"/>
      <c r="AF33" s="184"/>
      <c r="AG33" s="184"/>
      <c r="AH33" s="184"/>
      <c r="AI33" s="219"/>
      <c r="AJ33" s="219"/>
      <c r="AK33" s="183"/>
      <c r="AL33" s="184"/>
      <c r="AM33" s="184"/>
      <c r="AN33" s="184"/>
      <c r="AO33" s="184"/>
      <c r="AP33" s="219"/>
      <c r="AQ33" s="185"/>
      <c r="AR33" s="184"/>
      <c r="AS33" s="184"/>
      <c r="AT33" s="184"/>
      <c r="AU33" s="184"/>
      <c r="AV33" s="184"/>
      <c r="AW33" s="219"/>
      <c r="AX33" s="184"/>
      <c r="AY33" s="183"/>
      <c r="AZ33" s="184"/>
      <c r="BA33" s="184"/>
      <c r="BB33" s="184"/>
      <c r="BC33" s="184"/>
      <c r="BD33" s="183"/>
      <c r="BE33" s="219"/>
      <c r="BF33" s="183"/>
      <c r="BG33" s="184"/>
      <c r="BH33" s="184"/>
      <c r="BI33" s="184"/>
      <c r="BJ33" s="184"/>
      <c r="BK33" s="183"/>
      <c r="BL33" s="219"/>
      <c r="BM33" s="183"/>
      <c r="BN33" s="184"/>
      <c r="BO33" s="184"/>
      <c r="BP33" s="184"/>
      <c r="BQ33" s="184"/>
      <c r="BR33" s="183"/>
      <c r="BS33" s="219"/>
      <c r="BT33" s="183"/>
      <c r="BU33" s="184"/>
      <c r="BV33" s="184"/>
      <c r="BW33" s="184"/>
      <c r="BX33" s="184"/>
      <c r="BY33" s="219"/>
      <c r="BZ33" s="219"/>
    </row>
    <row r="34" spans="1:81" ht="13">
      <c r="A34" s="124" t="s">
        <v>25</v>
      </c>
      <c r="B34" s="183"/>
      <c r="C34" s="184"/>
      <c r="D34" s="184"/>
      <c r="E34" s="184"/>
      <c r="F34" s="184"/>
      <c r="G34" s="219"/>
      <c r="H34" s="219"/>
      <c r="I34" s="184"/>
      <c r="J34" s="184"/>
      <c r="K34" s="184"/>
      <c r="L34" s="184"/>
      <c r="M34" s="184"/>
      <c r="N34" s="219"/>
      <c r="O34" s="219"/>
      <c r="P34" s="183"/>
      <c r="Q34" s="184"/>
      <c r="R34" s="184"/>
      <c r="S34" s="184"/>
      <c r="T34" s="184"/>
      <c r="U34" s="183"/>
      <c r="V34" s="219"/>
      <c r="W34" s="183"/>
      <c r="X34" s="184"/>
      <c r="Y34" s="184"/>
      <c r="Z34" s="184"/>
      <c r="AA34" s="184"/>
      <c r="AB34" s="219"/>
      <c r="AC34" s="219"/>
      <c r="AD34" s="184"/>
      <c r="AE34" s="184"/>
      <c r="AF34" s="184"/>
      <c r="AG34" s="184"/>
      <c r="AH34" s="184"/>
      <c r="AI34" s="219"/>
      <c r="AJ34" s="219"/>
      <c r="AK34" s="183"/>
      <c r="AL34" s="184"/>
      <c r="AM34" s="184"/>
      <c r="AN34" s="184"/>
      <c r="AO34" s="184"/>
      <c r="AP34" s="219"/>
      <c r="AQ34" s="185"/>
      <c r="AR34" s="184"/>
      <c r="AS34" s="184"/>
      <c r="AT34" s="184"/>
      <c r="AU34" s="184"/>
      <c r="AV34" s="184"/>
      <c r="AW34" s="219"/>
      <c r="AX34" s="184"/>
      <c r="AY34" s="183"/>
      <c r="AZ34" s="184"/>
      <c r="BA34" s="184"/>
      <c r="BB34" s="184"/>
      <c r="BC34" s="184"/>
      <c r="BD34" s="183"/>
      <c r="BE34" s="219"/>
      <c r="BF34" s="183"/>
      <c r="BG34" s="184"/>
      <c r="BH34" s="184"/>
      <c r="BI34" s="184"/>
      <c r="BJ34" s="184"/>
      <c r="BK34" s="183"/>
      <c r="BL34" s="219"/>
      <c r="BM34" s="183"/>
      <c r="BN34" s="184"/>
      <c r="BO34" s="184"/>
      <c r="BP34" s="184"/>
      <c r="BQ34" s="184"/>
      <c r="BR34" s="183"/>
      <c r="BS34" s="219"/>
      <c r="BT34" s="183"/>
      <c r="BU34" s="184"/>
      <c r="BV34" s="184"/>
      <c r="BW34" s="184"/>
      <c r="BX34" s="184"/>
      <c r="BY34" s="219"/>
      <c r="BZ34" s="219"/>
    </row>
    <row r="35" spans="1:81" ht="13">
      <c r="A35" s="124" t="s">
        <v>106</v>
      </c>
      <c r="B35" s="183"/>
      <c r="C35" s="184"/>
      <c r="D35" s="184"/>
      <c r="E35" s="184"/>
      <c r="F35" s="184"/>
      <c r="G35" s="219"/>
      <c r="H35" s="219"/>
      <c r="I35" s="184"/>
      <c r="J35" s="184"/>
      <c r="K35" s="184"/>
      <c r="L35" s="184"/>
      <c r="M35" s="184"/>
      <c r="N35" s="219"/>
      <c r="O35" s="219"/>
      <c r="P35" s="183"/>
      <c r="Q35" s="184"/>
      <c r="R35" s="184"/>
      <c r="S35" s="184"/>
      <c r="T35" s="184"/>
      <c r="U35" s="183"/>
      <c r="V35" s="219"/>
      <c r="W35" s="183"/>
      <c r="X35" s="184"/>
      <c r="Y35" s="184"/>
      <c r="Z35" s="184"/>
      <c r="AA35" s="184"/>
      <c r="AB35" s="219"/>
      <c r="AC35" s="219"/>
      <c r="AD35" s="184"/>
      <c r="AE35" s="184"/>
      <c r="AF35" s="184"/>
      <c r="AG35" s="184"/>
      <c r="AH35" s="184"/>
      <c r="AI35" s="219"/>
      <c r="AJ35" s="219"/>
      <c r="AK35" s="183"/>
      <c r="AL35" s="184"/>
      <c r="AM35" s="184"/>
      <c r="AN35" s="184"/>
      <c r="AO35" s="184"/>
      <c r="AP35" s="219"/>
      <c r="AQ35" s="185"/>
      <c r="AR35" s="184"/>
      <c r="AS35" s="184"/>
      <c r="AT35" s="184"/>
      <c r="AU35" s="184"/>
      <c r="AV35" s="184"/>
      <c r="AW35" s="219"/>
      <c r="AX35" s="184"/>
      <c r="AY35" s="183"/>
      <c r="AZ35" s="184"/>
      <c r="BA35" s="184"/>
      <c r="BB35" s="184"/>
      <c r="BC35" s="184"/>
      <c r="BD35" s="183"/>
      <c r="BE35" s="219"/>
      <c r="BF35" s="183"/>
      <c r="BG35" s="184"/>
      <c r="BH35" s="184"/>
      <c r="BI35" s="184"/>
      <c r="BJ35" s="184"/>
      <c r="BK35" s="183"/>
      <c r="BL35" s="219"/>
      <c r="BM35" s="183"/>
      <c r="BN35" s="184"/>
      <c r="BO35" s="184"/>
      <c r="BP35" s="184"/>
      <c r="BQ35" s="184"/>
      <c r="BR35" s="183"/>
      <c r="BS35" s="219"/>
      <c r="BT35" s="183"/>
      <c r="BU35" s="184"/>
      <c r="BV35" s="184"/>
      <c r="BW35" s="184"/>
      <c r="BX35" s="184"/>
      <c r="BY35" s="219"/>
      <c r="BZ35" s="219"/>
    </row>
    <row r="36" spans="1:81" ht="13">
      <c r="A36" s="124" t="s">
        <v>107</v>
      </c>
      <c r="B36" s="183"/>
      <c r="C36" s="184"/>
      <c r="D36" s="184"/>
      <c r="E36" s="184"/>
      <c r="F36" s="184"/>
      <c r="G36" s="219"/>
      <c r="H36" s="219"/>
      <c r="I36" s="184"/>
      <c r="J36" s="184"/>
      <c r="K36" s="184"/>
      <c r="L36" s="184"/>
      <c r="M36" s="184"/>
      <c r="N36" s="219"/>
      <c r="O36" s="219"/>
      <c r="P36" s="183"/>
      <c r="Q36" s="184"/>
      <c r="R36" s="184"/>
      <c r="S36" s="184"/>
      <c r="T36" s="184"/>
      <c r="U36" s="183"/>
      <c r="V36" s="219"/>
      <c r="W36" s="183"/>
      <c r="X36" s="184"/>
      <c r="Y36" s="184"/>
      <c r="Z36" s="184"/>
      <c r="AA36" s="184"/>
      <c r="AB36" s="219"/>
      <c r="AC36" s="219"/>
      <c r="AD36" s="184"/>
      <c r="AE36" s="184"/>
      <c r="AF36" s="184"/>
      <c r="AG36" s="184"/>
      <c r="AH36" s="184"/>
      <c r="AI36" s="219"/>
      <c r="AJ36" s="219"/>
      <c r="AK36" s="183"/>
      <c r="AL36" s="184"/>
      <c r="AM36" s="184"/>
      <c r="AN36" s="184"/>
      <c r="AO36" s="184"/>
      <c r="AP36" s="219"/>
      <c r="AQ36" s="185"/>
      <c r="AR36" s="184"/>
      <c r="AS36" s="184"/>
      <c r="AT36" s="184"/>
      <c r="AU36" s="184"/>
      <c r="AV36" s="184"/>
      <c r="AW36" s="219"/>
      <c r="AX36" s="184"/>
      <c r="AY36" s="183"/>
      <c r="AZ36" s="184"/>
      <c r="BA36" s="184"/>
      <c r="BB36" s="184"/>
      <c r="BC36" s="184"/>
      <c r="BD36" s="183"/>
      <c r="BE36" s="219"/>
      <c r="BF36" s="183"/>
      <c r="BG36" s="184"/>
      <c r="BH36" s="184"/>
      <c r="BI36" s="184"/>
      <c r="BJ36" s="184"/>
      <c r="BK36" s="183"/>
      <c r="BL36" s="219"/>
      <c r="BM36" s="183"/>
      <c r="BN36" s="184"/>
      <c r="BO36" s="184"/>
      <c r="BP36" s="184"/>
      <c r="BQ36" s="184"/>
      <c r="BR36" s="183"/>
      <c r="BS36" s="219"/>
      <c r="BT36" s="183"/>
      <c r="BU36" s="184"/>
      <c r="BV36" s="184"/>
      <c r="BW36" s="184"/>
      <c r="BX36" s="184"/>
      <c r="BY36" s="219"/>
      <c r="BZ36" s="219"/>
    </row>
    <row r="37" spans="1:81" ht="13">
      <c r="A37" s="124" t="s">
        <v>26</v>
      </c>
      <c r="B37" s="183"/>
      <c r="C37" s="184"/>
      <c r="D37" s="184"/>
      <c r="E37" s="184"/>
      <c r="F37" s="184"/>
      <c r="G37" s="219"/>
      <c r="H37" s="219"/>
      <c r="I37" s="184"/>
      <c r="J37" s="184"/>
      <c r="K37" s="184"/>
      <c r="L37" s="184"/>
      <c r="M37" s="184"/>
      <c r="N37" s="219"/>
      <c r="O37" s="219"/>
      <c r="P37" s="183"/>
      <c r="Q37" s="184"/>
      <c r="R37" s="184"/>
      <c r="S37" s="184"/>
      <c r="T37" s="184"/>
      <c r="U37" s="183"/>
      <c r="V37" s="219"/>
      <c r="W37" s="183"/>
      <c r="X37" s="184"/>
      <c r="Y37" s="184"/>
      <c r="Z37" s="184"/>
      <c r="AA37" s="184"/>
      <c r="AB37" s="219"/>
      <c r="AC37" s="219"/>
      <c r="AD37" s="184"/>
      <c r="AE37" s="184"/>
      <c r="AF37" s="184"/>
      <c r="AG37" s="184"/>
      <c r="AH37" s="184"/>
      <c r="AI37" s="219"/>
      <c r="AJ37" s="219"/>
      <c r="AK37" s="183"/>
      <c r="AL37" s="184"/>
      <c r="AM37" s="184"/>
      <c r="AN37" s="184"/>
      <c r="AO37" s="184"/>
      <c r="AP37" s="219"/>
      <c r="AQ37" s="185"/>
      <c r="AR37" s="184"/>
      <c r="AS37" s="184"/>
      <c r="AT37" s="184"/>
      <c r="AU37" s="184"/>
      <c r="AV37" s="184"/>
      <c r="AW37" s="219"/>
      <c r="AX37" s="184"/>
      <c r="AY37" s="183"/>
      <c r="AZ37" s="184"/>
      <c r="BA37" s="184"/>
      <c r="BB37" s="184"/>
      <c r="BC37" s="184"/>
      <c r="BD37" s="183"/>
      <c r="BE37" s="219"/>
      <c r="BF37" s="183"/>
      <c r="BG37" s="184"/>
      <c r="BH37" s="184"/>
      <c r="BI37" s="184"/>
      <c r="BJ37" s="184"/>
      <c r="BK37" s="183"/>
      <c r="BL37" s="219"/>
      <c r="BM37" s="183"/>
      <c r="BN37" s="184"/>
      <c r="BO37" s="184"/>
      <c r="BP37" s="184"/>
      <c r="BQ37" s="184"/>
      <c r="BR37" s="183"/>
      <c r="BS37" s="219"/>
      <c r="BT37" s="183"/>
      <c r="BU37" s="184"/>
      <c r="BV37" s="184"/>
      <c r="BW37" s="184"/>
      <c r="BX37" s="184"/>
      <c r="BY37" s="219"/>
      <c r="BZ37" s="219"/>
    </row>
    <row r="38" spans="1:81" ht="13">
      <c r="A38" s="124" t="s">
        <v>27</v>
      </c>
      <c r="B38" s="183"/>
      <c r="C38" s="184"/>
      <c r="D38" s="184"/>
      <c r="E38" s="184"/>
      <c r="F38" s="184"/>
      <c r="G38" s="219"/>
      <c r="H38" s="219"/>
      <c r="I38" s="184"/>
      <c r="J38" s="184"/>
      <c r="K38" s="184"/>
      <c r="L38" s="184"/>
      <c r="M38" s="184"/>
      <c r="N38" s="219"/>
      <c r="O38" s="219"/>
      <c r="P38" s="183"/>
      <c r="Q38" s="184"/>
      <c r="R38" s="184"/>
      <c r="S38" s="184"/>
      <c r="T38" s="184"/>
      <c r="U38" s="183"/>
      <c r="V38" s="219"/>
      <c r="W38" s="183"/>
      <c r="X38" s="184"/>
      <c r="Y38" s="184"/>
      <c r="Z38" s="184"/>
      <c r="AA38" s="184"/>
      <c r="AB38" s="219"/>
      <c r="AC38" s="219"/>
      <c r="AD38" s="184"/>
      <c r="AE38" s="184"/>
      <c r="AF38" s="184"/>
      <c r="AG38" s="184"/>
      <c r="AH38" s="184"/>
      <c r="AI38" s="219"/>
      <c r="AJ38" s="219"/>
      <c r="AK38" s="183"/>
      <c r="AL38" s="184"/>
      <c r="AM38" s="184"/>
      <c r="AN38" s="184"/>
      <c r="AO38" s="184"/>
      <c r="AP38" s="219"/>
      <c r="AQ38" s="185"/>
      <c r="AR38" s="184"/>
      <c r="AS38" s="184"/>
      <c r="AT38" s="184"/>
      <c r="AU38" s="184"/>
      <c r="AV38" s="184"/>
      <c r="AW38" s="219"/>
      <c r="AX38" s="184"/>
      <c r="AY38" s="183"/>
      <c r="AZ38" s="184"/>
      <c r="BA38" s="184"/>
      <c r="BB38" s="184"/>
      <c r="BC38" s="184"/>
      <c r="BD38" s="183"/>
      <c r="BE38" s="219"/>
      <c r="BF38" s="183"/>
      <c r="BG38" s="184"/>
      <c r="BH38" s="184"/>
      <c r="BI38" s="184"/>
      <c r="BJ38" s="184"/>
      <c r="BK38" s="183"/>
      <c r="BL38" s="219"/>
      <c r="BM38" s="183"/>
      <c r="BN38" s="184"/>
      <c r="BO38" s="184"/>
      <c r="BP38" s="184"/>
      <c r="BQ38" s="184"/>
      <c r="BR38" s="183"/>
      <c r="BS38" s="219"/>
      <c r="BT38" s="183"/>
      <c r="BU38" s="184"/>
      <c r="BV38" s="184"/>
      <c r="BW38" s="184"/>
      <c r="BX38" s="184"/>
      <c r="BY38" s="219"/>
      <c r="BZ38" s="219"/>
    </row>
    <row r="39" spans="1:81" ht="13.5" thickBot="1">
      <c r="A39" s="124"/>
      <c r="B39" s="183"/>
      <c r="C39" s="184"/>
      <c r="D39" s="184"/>
      <c r="E39" s="184"/>
      <c r="F39" s="184"/>
      <c r="G39" s="219"/>
      <c r="H39" s="219"/>
      <c r="I39" s="184"/>
      <c r="J39" s="184"/>
      <c r="K39" s="184"/>
      <c r="L39" s="184"/>
      <c r="M39" s="184"/>
      <c r="N39" s="333"/>
      <c r="O39" s="219"/>
      <c r="P39" s="183"/>
      <c r="Q39" s="184"/>
      <c r="R39" s="184"/>
      <c r="S39" s="184"/>
      <c r="T39" s="184"/>
      <c r="U39" s="183"/>
      <c r="V39" s="219"/>
      <c r="W39" s="183"/>
      <c r="X39" s="184"/>
      <c r="Y39" s="184"/>
      <c r="Z39" s="184"/>
      <c r="AA39" s="184"/>
      <c r="AB39" s="219"/>
      <c r="AC39" s="219"/>
      <c r="AD39" s="184"/>
      <c r="AE39" s="184"/>
      <c r="AF39" s="184"/>
      <c r="AG39" s="184"/>
      <c r="AH39" s="184"/>
      <c r="AI39" s="219"/>
      <c r="AJ39" s="219"/>
      <c r="AK39" s="183"/>
      <c r="AL39" s="184"/>
      <c r="AM39" s="184"/>
      <c r="AN39" s="184"/>
      <c r="AO39" s="184"/>
      <c r="AP39" s="219"/>
      <c r="AQ39" s="185"/>
      <c r="AR39" s="184"/>
      <c r="AS39" s="184"/>
      <c r="AT39" s="184"/>
      <c r="AU39" s="184"/>
      <c r="AV39" s="184"/>
      <c r="AW39" s="219"/>
      <c r="AX39" s="184"/>
      <c r="AY39" s="183"/>
      <c r="AZ39" s="184"/>
      <c r="BA39" s="184"/>
      <c r="BB39" s="184"/>
      <c r="BC39" s="184"/>
      <c r="BD39" s="183"/>
      <c r="BE39" s="219"/>
      <c r="BF39" s="183"/>
      <c r="BG39" s="184"/>
      <c r="BH39" s="184"/>
      <c r="BI39" s="184"/>
      <c r="BJ39" s="184"/>
      <c r="BK39" s="183"/>
      <c r="BL39" s="219"/>
      <c r="BM39" s="183"/>
      <c r="BN39" s="184"/>
      <c r="BO39" s="184"/>
      <c r="BP39" s="184"/>
      <c r="BQ39" s="184"/>
      <c r="BR39" s="183"/>
      <c r="BS39" s="219"/>
      <c r="BT39" s="183"/>
      <c r="BU39" s="184"/>
      <c r="BV39" s="184"/>
      <c r="BW39" s="184"/>
      <c r="BX39" s="184"/>
      <c r="BY39" s="219"/>
      <c r="BZ39" s="219"/>
    </row>
    <row r="40" spans="1:81" ht="13.5" thickBot="1">
      <c r="A40" s="178" t="s">
        <v>2</v>
      </c>
      <c r="B40" s="572">
        <f>SUM(B8:B38)</f>
        <v>1</v>
      </c>
      <c r="C40" s="573"/>
      <c r="D40" s="573"/>
      <c r="E40" s="573"/>
      <c r="F40" s="573">
        <f>SUM(F8:F38)</f>
        <v>1</v>
      </c>
      <c r="G40" s="574"/>
      <c r="H40" s="574">
        <f>SUM(H8:H38)</f>
        <v>1</v>
      </c>
      <c r="I40" s="573"/>
      <c r="J40" s="573"/>
      <c r="K40" s="573"/>
      <c r="L40" s="573"/>
      <c r="M40" s="573"/>
      <c r="N40" s="572"/>
      <c r="O40" s="574"/>
      <c r="P40" s="572"/>
      <c r="Q40" s="573"/>
      <c r="R40" s="573"/>
      <c r="S40" s="573"/>
      <c r="T40" s="573"/>
      <c r="U40" s="572"/>
      <c r="V40" s="574"/>
      <c r="W40" s="572"/>
      <c r="X40" s="573"/>
      <c r="Y40" s="573"/>
      <c r="Z40" s="573"/>
      <c r="AA40" s="573"/>
      <c r="AB40" s="574"/>
      <c r="AC40" s="574"/>
      <c r="AD40" s="572"/>
      <c r="AE40" s="573"/>
      <c r="AF40" s="573"/>
      <c r="AG40" s="573"/>
      <c r="AH40" s="573"/>
      <c r="AI40" s="574"/>
      <c r="AJ40" s="574"/>
      <c r="AK40" s="572"/>
      <c r="AL40" s="573"/>
      <c r="AM40" s="573"/>
      <c r="AN40" s="573"/>
      <c r="AO40" s="573"/>
      <c r="AP40" s="574"/>
      <c r="AQ40" s="575"/>
      <c r="AR40" s="572"/>
      <c r="AS40" s="573"/>
      <c r="AT40" s="573"/>
      <c r="AU40" s="573"/>
      <c r="AV40" s="575"/>
      <c r="AW40" s="572"/>
      <c r="AX40" s="574"/>
      <c r="AY40" s="572"/>
      <c r="AZ40" s="573"/>
      <c r="BA40" s="573"/>
      <c r="BB40" s="573"/>
      <c r="BC40" s="573"/>
      <c r="BD40" s="572"/>
      <c r="BE40" s="574"/>
      <c r="BF40" s="572"/>
      <c r="BG40" s="573"/>
      <c r="BH40" s="573"/>
      <c r="BI40" s="573"/>
      <c r="BJ40" s="573"/>
      <c r="BK40" s="572"/>
      <c r="BL40" s="574"/>
      <c r="BM40" s="572"/>
      <c r="BN40" s="573"/>
      <c r="BO40" s="573"/>
      <c r="BP40" s="573"/>
      <c r="BQ40" s="575"/>
      <c r="BR40" s="573"/>
      <c r="BS40" s="574"/>
      <c r="BT40" s="572">
        <f t="shared" ref="BT40:BX40" si="5">SUM(BT8:BT38)</f>
        <v>1</v>
      </c>
      <c r="BU40" s="573"/>
      <c r="BV40" s="573"/>
      <c r="BW40" s="573"/>
      <c r="BX40" s="573">
        <f t="shared" si="5"/>
        <v>1</v>
      </c>
      <c r="BY40" s="574"/>
      <c r="BZ40" s="574">
        <f>SUM(BZ8:BZ38)</f>
        <v>1</v>
      </c>
      <c r="CB40" s="175"/>
      <c r="CC40" s="18"/>
    </row>
    <row r="41" spans="1:81" ht="13">
      <c r="A41" s="121"/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301"/>
      <c r="O41" s="301"/>
      <c r="P41" s="301"/>
      <c r="Q41" s="301"/>
      <c r="R41" s="301"/>
      <c r="S41" s="301"/>
      <c r="T41" s="301"/>
      <c r="U41" s="301"/>
      <c r="V41" s="301"/>
      <c r="W41" s="301"/>
      <c r="X41" s="301"/>
      <c r="Y41" s="301"/>
      <c r="Z41" s="301"/>
      <c r="AA41" s="301"/>
      <c r="AB41" s="301"/>
      <c r="AC41" s="301"/>
      <c r="AD41" s="301"/>
      <c r="AE41" s="301"/>
      <c r="AF41" s="301"/>
      <c r="AG41" s="301"/>
      <c r="AH41" s="301"/>
      <c r="AI41" s="301"/>
      <c r="AJ41" s="301"/>
      <c r="AK41" s="301"/>
      <c r="AL41" s="301"/>
      <c r="AM41" s="301"/>
      <c r="AN41" s="301"/>
      <c r="AO41" s="301"/>
      <c r="AP41" s="301"/>
      <c r="AQ41" s="301"/>
      <c r="AR41" s="13"/>
      <c r="AS41" s="13"/>
      <c r="AT41" s="13"/>
      <c r="AU41" s="13"/>
      <c r="AV41" s="13"/>
      <c r="AW41" s="301"/>
      <c r="AX41" s="301"/>
      <c r="AY41" s="301"/>
      <c r="AZ41" s="301"/>
      <c r="BA41" s="301"/>
      <c r="BB41" s="301"/>
      <c r="BC41" s="301"/>
      <c r="BD41" s="301"/>
      <c r="BE41" s="301"/>
      <c r="BF41" s="301"/>
      <c r="BG41" s="301"/>
      <c r="BH41" s="301"/>
      <c r="BI41" s="301"/>
      <c r="BJ41" s="301"/>
      <c r="BK41" s="301"/>
      <c r="BL41" s="301"/>
      <c r="BM41" s="13"/>
      <c r="BN41" s="13"/>
      <c r="BO41" s="13"/>
      <c r="BP41" s="13"/>
      <c r="BQ41" s="13"/>
      <c r="BR41" s="301"/>
      <c r="BS41" s="301"/>
      <c r="BT41" s="301"/>
      <c r="BU41" s="301"/>
      <c r="BV41" s="301"/>
      <c r="BW41" s="301"/>
      <c r="BX41" s="301"/>
      <c r="BY41" s="130"/>
      <c r="BZ41" s="414"/>
      <c r="CB41" s="18"/>
    </row>
    <row r="42" spans="1:81" ht="13">
      <c r="A42" s="29" t="s">
        <v>271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25"/>
      <c r="BZ42" s="76"/>
    </row>
    <row r="43" spans="1:81" ht="13">
      <c r="A43" s="29"/>
      <c r="B43" s="415" t="s">
        <v>344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25"/>
      <c r="BZ43" s="76"/>
    </row>
    <row r="44" spans="1:81" ht="13.5" thickBot="1">
      <c r="A44" s="72"/>
      <c r="B44" s="432" t="s">
        <v>270</v>
      </c>
      <c r="C44" s="16"/>
      <c r="D44" s="16"/>
      <c r="E44" s="16"/>
      <c r="F44" s="16"/>
      <c r="G44" s="16"/>
      <c r="H44" s="16"/>
      <c r="I44" s="420"/>
      <c r="J44" s="16"/>
      <c r="K44" s="16"/>
      <c r="L44" s="16"/>
      <c r="M44" s="16"/>
      <c r="N44" s="16"/>
      <c r="O44" s="16"/>
      <c r="P44" s="421"/>
      <c r="Q44" s="422"/>
      <c r="R44" s="16"/>
      <c r="S44" s="16"/>
      <c r="T44" s="16"/>
      <c r="U44" s="16"/>
      <c r="V44" s="16"/>
      <c r="W44" s="421"/>
      <c r="X44" s="422"/>
      <c r="Y44" s="16"/>
      <c r="Z44" s="16"/>
      <c r="AA44" s="16"/>
      <c r="AB44" s="16"/>
      <c r="AC44" s="16"/>
      <c r="AD44" s="421"/>
      <c r="AE44" s="422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423"/>
      <c r="BI44" s="16"/>
      <c r="BJ44" s="16"/>
      <c r="BK44" s="16"/>
      <c r="BL44" s="16"/>
      <c r="BM44" s="423"/>
      <c r="BN44" s="16"/>
      <c r="BO44" s="16"/>
      <c r="BP44" s="16"/>
      <c r="BQ44" s="16"/>
      <c r="BR44" s="16"/>
      <c r="BS44" s="423"/>
      <c r="BT44" s="422"/>
      <c r="BU44" s="16"/>
      <c r="BV44" s="16"/>
      <c r="BW44" s="16"/>
      <c r="BX44" s="16"/>
      <c r="BY44" s="16"/>
      <c r="BZ44" s="17"/>
    </row>
    <row r="45" spans="1:81" ht="13">
      <c r="A45" s="2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3"/>
      <c r="Q45" s="181"/>
      <c r="R45" s="12"/>
      <c r="S45" s="12"/>
      <c r="T45" s="12"/>
      <c r="U45" s="12"/>
      <c r="V45" s="12"/>
      <c r="W45" s="13"/>
      <c r="X45" s="181"/>
      <c r="Y45" s="12"/>
      <c r="Z45" s="12"/>
      <c r="AA45" s="12"/>
      <c r="AB45" s="12"/>
      <c r="AC45" s="12"/>
      <c r="AD45" s="13"/>
      <c r="AE45" s="181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57"/>
    </row>
    <row r="46" spans="1:81" ht="13">
      <c r="A46" s="21"/>
      <c r="B46" s="12"/>
      <c r="C46" s="12"/>
      <c r="D46" s="12"/>
      <c r="E46" s="12"/>
      <c r="F46" s="12"/>
      <c r="G46" s="12"/>
      <c r="H46" s="13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Z46" s="12"/>
    </row>
    <row r="47" spans="1:81" ht="13">
      <c r="A47" s="2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565"/>
      <c r="X47" s="564"/>
      <c r="Y47" s="564"/>
      <c r="Z47" s="564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Z47" s="12"/>
    </row>
    <row r="48" spans="1:81" ht="13">
      <c r="A48" s="2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3"/>
      <c r="X48" s="12"/>
      <c r="Y48" s="12"/>
      <c r="Z48" s="12"/>
      <c r="AA48" s="565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Z48" s="12"/>
    </row>
    <row r="49" spans="1:76" ht="13">
      <c r="A49" s="2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</row>
    <row r="50" spans="1:76" ht="13">
      <c r="A50" s="2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</row>
    <row r="51" spans="1:76" ht="13">
      <c r="A51" s="21"/>
    </row>
    <row r="52" spans="1:76" ht="13">
      <c r="A52" s="21"/>
    </row>
    <row r="53" spans="1:76" ht="13">
      <c r="A53" s="21"/>
    </row>
    <row r="54" spans="1:76" ht="13">
      <c r="A54" s="21"/>
    </row>
    <row r="55" spans="1:76" ht="13">
      <c r="A55" s="21"/>
    </row>
    <row r="56" spans="1:76" ht="13">
      <c r="A56" s="21"/>
    </row>
    <row r="57" spans="1:76" ht="13">
      <c r="A57" s="21"/>
    </row>
    <row r="58" spans="1:76" ht="13">
      <c r="A58" s="21"/>
    </row>
    <row r="59" spans="1:76" ht="13">
      <c r="A59" s="21"/>
    </row>
    <row r="60" spans="1:76" ht="13">
      <c r="A60" s="21"/>
    </row>
    <row r="61" spans="1:76" ht="13">
      <c r="A61" s="21"/>
    </row>
    <row r="62" spans="1:76" ht="13">
      <c r="A62" s="21"/>
    </row>
    <row r="63" spans="1:76" ht="13">
      <c r="A63" s="21"/>
    </row>
    <row r="64" spans="1:76" ht="13">
      <c r="A64" s="21"/>
    </row>
    <row r="65" spans="1:1" ht="13">
      <c r="A65" s="21"/>
    </row>
    <row r="66" spans="1:1" ht="13">
      <c r="A66" s="21"/>
    </row>
    <row r="67" spans="1:1" ht="13">
      <c r="A67" s="21"/>
    </row>
    <row r="68" spans="1:1" ht="13">
      <c r="A68" s="21"/>
    </row>
    <row r="69" spans="1:1" ht="13">
      <c r="A69" s="21"/>
    </row>
    <row r="70" spans="1:1" ht="13">
      <c r="A70" s="21"/>
    </row>
    <row r="71" spans="1:1" ht="13">
      <c r="A71" s="21"/>
    </row>
    <row r="72" spans="1:1" ht="13">
      <c r="A72" s="21"/>
    </row>
    <row r="73" spans="1:1" ht="13">
      <c r="A73" s="21"/>
    </row>
    <row r="74" spans="1:1" ht="13">
      <c r="A74" s="21"/>
    </row>
    <row r="75" spans="1:1" ht="13">
      <c r="A75" s="21"/>
    </row>
    <row r="76" spans="1:1" ht="13">
      <c r="A76" s="21"/>
    </row>
    <row r="77" spans="1:1" ht="13">
      <c r="A77" s="21"/>
    </row>
    <row r="78" spans="1:1" ht="13">
      <c r="A78" s="21"/>
    </row>
    <row r="79" spans="1:1" ht="13">
      <c r="A79" s="21"/>
    </row>
    <row r="80" spans="1:1" ht="13">
      <c r="A80" s="21"/>
    </row>
    <row r="81" spans="1:1" ht="13">
      <c r="A81" s="21"/>
    </row>
    <row r="82" spans="1:1" ht="13">
      <c r="A82" s="21"/>
    </row>
    <row r="83" spans="1:1" ht="13">
      <c r="A83" s="21"/>
    </row>
    <row r="84" spans="1:1" ht="13">
      <c r="A84" s="21"/>
    </row>
    <row r="85" spans="1:1" ht="13">
      <c r="A85" s="21"/>
    </row>
    <row r="86" spans="1:1" ht="13">
      <c r="A86" s="21"/>
    </row>
    <row r="87" spans="1:1" ht="13">
      <c r="A87" s="21"/>
    </row>
    <row r="88" spans="1:1" ht="13">
      <c r="A88" s="21"/>
    </row>
    <row r="89" spans="1:1" ht="13">
      <c r="A89" s="21"/>
    </row>
    <row r="90" spans="1:1" ht="13">
      <c r="A90" s="21"/>
    </row>
    <row r="91" spans="1:1" ht="13">
      <c r="A91" s="21"/>
    </row>
    <row r="92" spans="1:1" ht="13">
      <c r="A92" s="21"/>
    </row>
    <row r="93" spans="1:1" ht="13">
      <c r="A93" s="21"/>
    </row>
    <row r="94" spans="1:1" ht="13">
      <c r="A94" s="21"/>
    </row>
    <row r="95" spans="1:1" ht="13">
      <c r="A95" s="21"/>
    </row>
    <row r="96" spans="1:1" ht="13">
      <c r="A96" s="21"/>
    </row>
    <row r="97" spans="1:1" ht="13">
      <c r="A97" s="21"/>
    </row>
    <row r="98" spans="1:1" ht="13">
      <c r="A98" s="21"/>
    </row>
    <row r="99" spans="1:1" ht="13">
      <c r="A99" s="21"/>
    </row>
    <row r="100" spans="1:1" ht="13">
      <c r="A100" s="21"/>
    </row>
    <row r="101" spans="1:1" ht="13">
      <c r="A101" s="21"/>
    </row>
    <row r="102" spans="1:1" ht="13">
      <c r="A102" s="21"/>
    </row>
    <row r="103" spans="1:1" ht="13">
      <c r="A103" s="21"/>
    </row>
    <row r="104" spans="1:1" ht="13">
      <c r="A104" s="21"/>
    </row>
    <row r="105" spans="1:1" ht="13">
      <c r="A105" s="21"/>
    </row>
    <row r="106" spans="1:1" ht="13">
      <c r="A106" s="21"/>
    </row>
    <row r="107" spans="1:1" ht="13">
      <c r="A107" s="21"/>
    </row>
    <row r="108" spans="1:1" ht="13">
      <c r="A108" s="21"/>
    </row>
    <row r="109" spans="1:1" ht="13">
      <c r="A109" s="21"/>
    </row>
    <row r="110" spans="1:1" ht="13">
      <c r="A110" s="21"/>
    </row>
    <row r="111" spans="1:1" ht="13">
      <c r="A111" s="21"/>
    </row>
    <row r="112" spans="1:1" ht="13">
      <c r="A112" s="21"/>
    </row>
    <row r="113" spans="1:1" ht="13">
      <c r="A113" s="21"/>
    </row>
    <row r="114" spans="1:1" ht="13">
      <c r="A114" s="21"/>
    </row>
    <row r="115" spans="1:1" ht="13">
      <c r="A115" s="21"/>
    </row>
    <row r="116" spans="1:1" ht="13">
      <c r="A116" s="21"/>
    </row>
    <row r="117" spans="1:1" ht="13">
      <c r="A117" s="21"/>
    </row>
    <row r="118" spans="1:1" ht="13">
      <c r="A118" s="21"/>
    </row>
    <row r="119" spans="1:1" ht="13">
      <c r="A119" s="21"/>
    </row>
    <row r="120" spans="1:1" ht="13">
      <c r="A120" s="21"/>
    </row>
    <row r="121" spans="1:1" ht="13">
      <c r="A121" s="21"/>
    </row>
    <row r="122" spans="1:1" ht="13">
      <c r="A122" s="21"/>
    </row>
    <row r="123" spans="1:1" ht="13">
      <c r="A123" s="21"/>
    </row>
    <row r="124" spans="1:1" ht="13">
      <c r="A124" s="21"/>
    </row>
    <row r="125" spans="1:1" ht="13">
      <c r="A125" s="21"/>
    </row>
    <row r="126" spans="1:1" ht="13">
      <c r="A126" s="21"/>
    </row>
    <row r="127" spans="1:1" ht="13">
      <c r="A127" s="21"/>
    </row>
    <row r="128" spans="1:1" ht="13">
      <c r="A128" s="21"/>
    </row>
    <row r="129" spans="1:1" ht="13">
      <c r="A129" s="21"/>
    </row>
    <row r="130" spans="1:1" ht="13">
      <c r="A130" s="21"/>
    </row>
    <row r="131" spans="1:1" ht="13">
      <c r="A131" s="21"/>
    </row>
    <row r="132" spans="1:1" ht="13">
      <c r="A132" s="21"/>
    </row>
    <row r="133" spans="1:1" ht="13">
      <c r="A133" s="21"/>
    </row>
    <row r="134" spans="1:1" ht="13">
      <c r="A134" s="21"/>
    </row>
    <row r="135" spans="1:1" ht="13">
      <c r="A135" s="21"/>
    </row>
    <row r="136" spans="1:1" ht="13">
      <c r="A136" s="21"/>
    </row>
    <row r="137" spans="1:1" ht="13">
      <c r="A137" s="21"/>
    </row>
    <row r="138" spans="1:1" ht="13">
      <c r="A138" s="21"/>
    </row>
    <row r="139" spans="1:1" ht="13">
      <c r="A139" s="21"/>
    </row>
    <row r="140" spans="1:1" ht="13">
      <c r="A140" s="21"/>
    </row>
    <row r="141" spans="1:1" ht="13">
      <c r="A141" s="21"/>
    </row>
    <row r="142" spans="1:1" ht="13">
      <c r="A142" s="21"/>
    </row>
    <row r="143" spans="1:1" ht="13">
      <c r="A143" s="21"/>
    </row>
    <row r="144" spans="1:1" ht="13">
      <c r="A144" s="21"/>
    </row>
    <row r="145" spans="1:1" ht="13">
      <c r="A145" s="21"/>
    </row>
    <row r="146" spans="1:1" ht="13">
      <c r="A146" s="21"/>
    </row>
    <row r="147" spans="1:1" ht="13">
      <c r="A147" s="21"/>
    </row>
    <row r="148" spans="1:1" ht="13">
      <c r="A148" s="21"/>
    </row>
    <row r="149" spans="1:1" ht="13">
      <c r="A149" s="21"/>
    </row>
    <row r="150" spans="1:1" ht="13">
      <c r="A150" s="21"/>
    </row>
    <row r="151" spans="1:1" ht="13">
      <c r="A151" s="21"/>
    </row>
    <row r="152" spans="1:1" ht="13">
      <c r="A152" s="21"/>
    </row>
    <row r="153" spans="1:1" ht="13">
      <c r="A153" s="21"/>
    </row>
    <row r="154" spans="1:1" ht="13">
      <c r="A154" s="21"/>
    </row>
    <row r="155" spans="1:1" ht="13">
      <c r="A155" s="21"/>
    </row>
    <row r="156" spans="1:1" ht="13">
      <c r="A156" s="21"/>
    </row>
    <row r="157" spans="1:1" ht="13">
      <c r="A157" s="21"/>
    </row>
    <row r="158" spans="1:1" ht="13">
      <c r="A158" s="21"/>
    </row>
    <row r="159" spans="1:1" ht="13">
      <c r="A159" s="21"/>
    </row>
    <row r="160" spans="1:1" ht="13">
      <c r="A160" s="21"/>
    </row>
    <row r="161" spans="1:1" ht="13">
      <c r="A161" s="21"/>
    </row>
    <row r="162" spans="1:1" ht="13">
      <c r="A162" s="21"/>
    </row>
    <row r="163" spans="1:1" ht="13">
      <c r="A163" s="21"/>
    </row>
    <row r="164" spans="1:1" ht="13">
      <c r="A164" s="21"/>
    </row>
    <row r="165" spans="1:1" ht="13">
      <c r="A165" s="21"/>
    </row>
    <row r="166" spans="1:1" ht="13">
      <c r="A166" s="21"/>
    </row>
    <row r="167" spans="1:1" ht="13">
      <c r="A167" s="21"/>
    </row>
    <row r="168" spans="1:1" ht="13">
      <c r="A168" s="21"/>
    </row>
    <row r="169" spans="1:1" ht="13">
      <c r="A169" s="21"/>
    </row>
    <row r="170" spans="1:1" ht="13">
      <c r="A170" s="21"/>
    </row>
    <row r="171" spans="1:1" ht="13">
      <c r="A171" s="21"/>
    </row>
    <row r="172" spans="1:1" ht="13">
      <c r="A172" s="21"/>
    </row>
    <row r="173" spans="1:1" ht="13">
      <c r="A173" s="21"/>
    </row>
    <row r="174" spans="1:1" ht="13">
      <c r="A174" s="21"/>
    </row>
    <row r="175" spans="1:1" ht="13">
      <c r="A175" s="21"/>
    </row>
    <row r="176" spans="1:1" ht="13">
      <c r="A176" s="21"/>
    </row>
    <row r="177" spans="1:1" ht="13">
      <c r="A177" s="21"/>
    </row>
    <row r="178" spans="1:1" ht="13">
      <c r="A178" s="21"/>
    </row>
    <row r="179" spans="1:1" ht="13">
      <c r="A179" s="21"/>
    </row>
    <row r="180" spans="1:1" ht="13">
      <c r="A180" s="21"/>
    </row>
    <row r="181" spans="1:1" ht="13">
      <c r="A181" s="21"/>
    </row>
    <row r="182" spans="1:1" ht="13">
      <c r="A182" s="21"/>
    </row>
    <row r="183" spans="1:1" ht="13">
      <c r="A183" s="21"/>
    </row>
    <row r="184" spans="1:1" ht="13">
      <c r="A184" s="21"/>
    </row>
    <row r="185" spans="1:1" ht="13">
      <c r="A185" s="21"/>
    </row>
    <row r="186" spans="1:1" ht="13">
      <c r="A186" s="21"/>
    </row>
    <row r="187" spans="1:1" ht="13">
      <c r="A187" s="21"/>
    </row>
    <row r="188" spans="1:1" ht="13">
      <c r="A188" s="21"/>
    </row>
    <row r="189" spans="1:1" ht="13">
      <c r="A189" s="21"/>
    </row>
    <row r="190" spans="1:1" ht="13">
      <c r="A190" s="21"/>
    </row>
    <row r="191" spans="1:1" ht="13">
      <c r="A191" s="21"/>
    </row>
    <row r="192" spans="1:1" ht="13">
      <c r="A192" s="21"/>
    </row>
    <row r="193" spans="1:1" ht="13">
      <c r="A193" s="21"/>
    </row>
    <row r="194" spans="1:1" ht="13">
      <c r="A194" s="21"/>
    </row>
    <row r="195" spans="1:1" ht="13">
      <c r="A195" s="21"/>
    </row>
    <row r="196" spans="1:1" ht="13">
      <c r="A196" s="21"/>
    </row>
    <row r="197" spans="1:1" ht="13">
      <c r="A197" s="21"/>
    </row>
    <row r="198" spans="1:1" ht="13">
      <c r="A198" s="21"/>
    </row>
    <row r="199" spans="1:1" ht="13">
      <c r="A199" s="21"/>
    </row>
    <row r="200" spans="1:1" ht="13">
      <c r="A200" s="21"/>
    </row>
    <row r="201" spans="1:1" ht="13">
      <c r="A201" s="21"/>
    </row>
    <row r="202" spans="1:1" ht="13">
      <c r="A202" s="21"/>
    </row>
    <row r="203" spans="1:1" ht="13">
      <c r="A203" s="21"/>
    </row>
    <row r="204" spans="1:1" ht="13">
      <c r="A204" s="21"/>
    </row>
    <row r="205" spans="1:1" ht="13">
      <c r="A205" s="21"/>
    </row>
    <row r="206" spans="1:1" ht="13">
      <c r="A206" s="21"/>
    </row>
    <row r="207" spans="1:1" ht="13">
      <c r="A207" s="21"/>
    </row>
    <row r="208" spans="1:1" ht="13">
      <c r="A208" s="21"/>
    </row>
    <row r="209" spans="1:1" ht="13">
      <c r="A209" s="21"/>
    </row>
    <row r="210" spans="1:1" ht="13">
      <c r="A210" s="21"/>
    </row>
    <row r="211" spans="1:1" ht="13">
      <c r="A211" s="21"/>
    </row>
    <row r="212" spans="1:1" ht="13">
      <c r="A212" s="21"/>
    </row>
    <row r="213" spans="1:1" ht="13">
      <c r="A213" s="21"/>
    </row>
    <row r="214" spans="1:1" ht="13">
      <c r="A214" s="21"/>
    </row>
    <row r="215" spans="1:1" ht="13">
      <c r="A215" s="21"/>
    </row>
    <row r="216" spans="1:1" ht="13">
      <c r="A216" s="21"/>
    </row>
    <row r="217" spans="1:1" ht="13">
      <c r="A217" s="21"/>
    </row>
    <row r="218" spans="1:1" ht="13">
      <c r="A218" s="21"/>
    </row>
    <row r="219" spans="1:1" ht="13">
      <c r="A219" s="21"/>
    </row>
    <row r="220" spans="1:1" ht="13">
      <c r="A220" s="21"/>
    </row>
    <row r="221" spans="1:1" ht="13">
      <c r="A221" s="21"/>
    </row>
    <row r="222" spans="1:1" ht="13">
      <c r="A222" s="21"/>
    </row>
    <row r="223" spans="1:1" ht="13">
      <c r="A223" s="21"/>
    </row>
    <row r="224" spans="1:1" ht="13">
      <c r="A224" s="21"/>
    </row>
    <row r="225" spans="1:1" ht="13">
      <c r="A225" s="21"/>
    </row>
    <row r="226" spans="1:1" ht="13">
      <c r="A226" s="21"/>
    </row>
    <row r="227" spans="1:1" ht="13">
      <c r="A227" s="21"/>
    </row>
    <row r="228" spans="1:1" ht="13">
      <c r="A228" s="21"/>
    </row>
    <row r="229" spans="1:1" ht="13">
      <c r="A229" s="21"/>
    </row>
    <row r="230" spans="1:1" ht="13">
      <c r="A230" s="21"/>
    </row>
    <row r="231" spans="1:1" ht="13">
      <c r="A231" s="21"/>
    </row>
    <row r="232" spans="1:1" ht="13">
      <c r="A232" s="21"/>
    </row>
    <row r="233" spans="1:1" ht="13">
      <c r="A233" s="21"/>
    </row>
    <row r="234" spans="1:1" ht="13">
      <c r="A234" s="21"/>
    </row>
    <row r="235" spans="1:1" ht="13">
      <c r="A235" s="21"/>
    </row>
    <row r="236" spans="1:1" ht="13">
      <c r="A236" s="21"/>
    </row>
    <row r="237" spans="1:1" ht="13">
      <c r="A237" s="21"/>
    </row>
    <row r="238" spans="1:1" ht="13">
      <c r="A238" s="21"/>
    </row>
    <row r="239" spans="1:1" ht="13">
      <c r="A239" s="21"/>
    </row>
    <row r="240" spans="1:1" ht="13">
      <c r="A240" s="21"/>
    </row>
    <row r="241" spans="1:1" ht="13">
      <c r="A241" s="21"/>
    </row>
    <row r="242" spans="1:1" ht="13">
      <c r="A242" s="21"/>
    </row>
    <row r="243" spans="1:1" ht="13">
      <c r="A243" s="21"/>
    </row>
    <row r="244" spans="1:1" ht="13">
      <c r="A244" s="21"/>
    </row>
    <row r="245" spans="1:1" ht="13">
      <c r="A245" s="21"/>
    </row>
    <row r="246" spans="1:1" ht="13">
      <c r="A246" s="21"/>
    </row>
    <row r="247" spans="1:1" ht="13">
      <c r="A247" s="21"/>
    </row>
    <row r="248" spans="1:1" ht="13">
      <c r="A248" s="21"/>
    </row>
    <row r="249" spans="1:1" ht="13">
      <c r="A249" s="21"/>
    </row>
    <row r="250" spans="1:1" ht="13">
      <c r="A250" s="21"/>
    </row>
    <row r="251" spans="1:1" ht="13">
      <c r="A251" s="21"/>
    </row>
    <row r="252" spans="1:1" ht="13">
      <c r="A252" s="21"/>
    </row>
    <row r="253" spans="1:1" ht="13">
      <c r="A253" s="21"/>
    </row>
    <row r="254" spans="1:1" ht="13">
      <c r="A254" s="21"/>
    </row>
    <row r="255" spans="1:1" ht="13">
      <c r="A255" s="21"/>
    </row>
    <row r="256" spans="1:1" ht="13">
      <c r="A256" s="21"/>
    </row>
    <row r="257" spans="1:1" ht="13">
      <c r="A257" s="21"/>
    </row>
    <row r="258" spans="1:1" ht="13">
      <c r="A258" s="21"/>
    </row>
    <row r="259" spans="1:1" ht="13">
      <c r="A259" s="21"/>
    </row>
    <row r="260" spans="1:1" ht="13">
      <c r="A260" s="21"/>
    </row>
    <row r="261" spans="1:1" ht="13">
      <c r="A261" s="21"/>
    </row>
    <row r="262" spans="1:1" ht="13">
      <c r="A262" s="21"/>
    </row>
    <row r="263" spans="1:1" ht="13">
      <c r="A263" s="21"/>
    </row>
    <row r="264" spans="1:1" ht="13">
      <c r="A264" s="21"/>
    </row>
    <row r="265" spans="1:1" ht="13">
      <c r="A265" s="21"/>
    </row>
    <row r="266" spans="1:1" ht="13">
      <c r="A266" s="21"/>
    </row>
    <row r="267" spans="1:1" ht="13">
      <c r="A267" s="21"/>
    </row>
    <row r="268" spans="1:1" ht="13">
      <c r="A268" s="21"/>
    </row>
    <row r="269" spans="1:1" ht="13">
      <c r="A269" s="21"/>
    </row>
    <row r="270" spans="1:1" ht="13">
      <c r="A270" s="21"/>
    </row>
    <row r="271" spans="1:1" ht="13">
      <c r="A271" s="21"/>
    </row>
    <row r="272" spans="1:1" ht="13">
      <c r="A272" s="21"/>
    </row>
    <row r="273" spans="1:1" ht="13">
      <c r="A273" s="21"/>
    </row>
    <row r="274" spans="1:1" ht="13">
      <c r="A274" s="21"/>
    </row>
    <row r="275" spans="1:1" ht="13">
      <c r="A275" s="21"/>
    </row>
    <row r="276" spans="1:1" ht="13">
      <c r="A276" s="21"/>
    </row>
    <row r="277" spans="1:1" ht="13">
      <c r="A277" s="21"/>
    </row>
    <row r="278" spans="1:1" ht="13">
      <c r="A278" s="21"/>
    </row>
    <row r="279" spans="1:1" ht="13">
      <c r="A279" s="21"/>
    </row>
    <row r="280" spans="1:1" ht="13">
      <c r="A280" s="21"/>
    </row>
    <row r="281" spans="1:1" ht="13">
      <c r="A281" s="21"/>
    </row>
    <row r="282" spans="1:1" ht="13">
      <c r="A282" s="21"/>
    </row>
    <row r="283" spans="1:1" ht="13">
      <c r="A283" s="21"/>
    </row>
    <row r="284" spans="1:1" ht="13">
      <c r="A284" s="21"/>
    </row>
    <row r="285" spans="1:1" ht="13">
      <c r="A285" s="21"/>
    </row>
    <row r="286" spans="1:1" ht="13">
      <c r="A286" s="21"/>
    </row>
    <row r="287" spans="1:1" ht="13">
      <c r="A287" s="21"/>
    </row>
    <row r="288" spans="1:1" ht="13">
      <c r="A288" s="21"/>
    </row>
    <row r="289" spans="1:1" ht="13">
      <c r="A289" s="21"/>
    </row>
    <row r="290" spans="1:1" ht="13">
      <c r="A290" s="21"/>
    </row>
    <row r="291" spans="1:1" ht="13">
      <c r="A291" s="21"/>
    </row>
    <row r="292" spans="1:1" ht="13">
      <c r="A292" s="21"/>
    </row>
    <row r="293" spans="1:1" ht="13">
      <c r="A293" s="21"/>
    </row>
    <row r="294" spans="1:1" ht="13">
      <c r="A294" s="21"/>
    </row>
    <row r="295" spans="1:1" ht="13">
      <c r="A295" s="21"/>
    </row>
    <row r="296" spans="1:1" ht="13">
      <c r="A296" s="21"/>
    </row>
    <row r="297" spans="1:1" ht="13">
      <c r="A297" s="21"/>
    </row>
    <row r="298" spans="1:1" ht="13">
      <c r="A298" s="21"/>
    </row>
    <row r="299" spans="1:1" ht="13">
      <c r="A299" s="21"/>
    </row>
    <row r="300" spans="1:1" ht="13">
      <c r="A300" s="21"/>
    </row>
    <row r="301" spans="1:1" ht="13">
      <c r="A301" s="21"/>
    </row>
    <row r="302" spans="1:1" ht="13">
      <c r="A302" s="21"/>
    </row>
    <row r="303" spans="1:1" ht="13">
      <c r="A303" s="21"/>
    </row>
    <row r="304" spans="1:1" ht="13">
      <c r="A304" s="21"/>
    </row>
    <row r="305" spans="1:1" ht="13">
      <c r="A305" s="21"/>
    </row>
    <row r="306" spans="1:1" ht="13">
      <c r="A306" s="21"/>
    </row>
    <row r="307" spans="1:1" ht="13">
      <c r="A307" s="21"/>
    </row>
    <row r="308" spans="1:1" ht="13">
      <c r="A308" s="21"/>
    </row>
    <row r="309" spans="1:1" ht="13">
      <c r="A309" s="21"/>
    </row>
    <row r="310" spans="1:1" ht="13">
      <c r="A310" s="21"/>
    </row>
    <row r="311" spans="1:1" ht="13">
      <c r="A311" s="21"/>
    </row>
    <row r="312" spans="1:1" ht="13">
      <c r="A312" s="21"/>
    </row>
    <row r="313" spans="1:1" ht="13">
      <c r="A313" s="21"/>
    </row>
    <row r="314" spans="1:1" ht="13">
      <c r="A314" s="21"/>
    </row>
    <row r="315" spans="1:1" ht="13">
      <c r="A315" s="21"/>
    </row>
    <row r="316" spans="1:1" ht="13">
      <c r="A316" s="21"/>
    </row>
    <row r="317" spans="1:1" ht="13">
      <c r="A317" s="21"/>
    </row>
    <row r="318" spans="1:1" ht="13">
      <c r="A318" s="21"/>
    </row>
    <row r="319" spans="1:1" ht="13">
      <c r="A319" s="21"/>
    </row>
    <row r="320" spans="1:1" ht="13">
      <c r="A320" s="21"/>
    </row>
    <row r="321" spans="1:1" ht="13">
      <c r="A321" s="21"/>
    </row>
    <row r="322" spans="1:1" ht="13">
      <c r="A322" s="21"/>
    </row>
    <row r="323" spans="1:1" ht="13">
      <c r="A323" s="21"/>
    </row>
    <row r="324" spans="1:1" ht="13">
      <c r="A324" s="21"/>
    </row>
    <row r="325" spans="1:1" ht="13">
      <c r="A325" s="21"/>
    </row>
    <row r="326" spans="1:1" ht="13">
      <c r="A326" s="21"/>
    </row>
    <row r="327" spans="1:1" ht="13">
      <c r="A327" s="21"/>
    </row>
    <row r="328" spans="1:1" ht="13">
      <c r="A328" s="21"/>
    </row>
    <row r="329" spans="1:1" ht="13">
      <c r="A329" s="21"/>
    </row>
    <row r="330" spans="1:1" ht="13">
      <c r="A330" s="21"/>
    </row>
    <row r="331" spans="1:1" ht="13">
      <c r="A331" s="21"/>
    </row>
    <row r="332" spans="1:1" ht="13">
      <c r="A332" s="21"/>
    </row>
    <row r="333" spans="1:1" ht="13">
      <c r="A333" s="21"/>
    </row>
    <row r="334" spans="1:1" ht="13">
      <c r="A334" s="21"/>
    </row>
    <row r="335" spans="1:1" ht="13">
      <c r="A335" s="21"/>
    </row>
    <row r="336" spans="1:1" ht="13">
      <c r="A336" s="21"/>
    </row>
    <row r="337" spans="1:1" ht="13">
      <c r="A337" s="21"/>
    </row>
    <row r="338" spans="1:1" ht="13">
      <c r="A338" s="21"/>
    </row>
    <row r="339" spans="1:1" ht="13">
      <c r="A339" s="21"/>
    </row>
    <row r="340" spans="1:1" ht="13">
      <c r="A340" s="21"/>
    </row>
    <row r="341" spans="1:1" ht="13">
      <c r="A341" s="21"/>
    </row>
    <row r="342" spans="1:1" ht="13">
      <c r="A342" s="21"/>
    </row>
    <row r="343" spans="1:1" ht="13">
      <c r="A343" s="21"/>
    </row>
    <row r="344" spans="1:1" ht="13">
      <c r="A344" s="21"/>
    </row>
    <row r="345" spans="1:1" ht="13">
      <c r="A345" s="21"/>
    </row>
    <row r="346" spans="1:1" ht="13">
      <c r="A346" s="21"/>
    </row>
    <row r="347" spans="1:1" ht="13">
      <c r="A347" s="21"/>
    </row>
    <row r="348" spans="1:1" ht="13">
      <c r="A348" s="21"/>
    </row>
    <row r="349" spans="1:1" ht="13">
      <c r="A349" s="21"/>
    </row>
    <row r="350" spans="1:1" ht="13">
      <c r="A350" s="21"/>
    </row>
    <row r="351" spans="1:1" ht="13">
      <c r="A351" s="21"/>
    </row>
    <row r="352" spans="1:1" ht="13">
      <c r="A352" s="21"/>
    </row>
    <row r="353" spans="1:1" ht="13">
      <c r="A353" s="21"/>
    </row>
    <row r="354" spans="1:1" ht="13">
      <c r="A354" s="21"/>
    </row>
    <row r="355" spans="1:1" ht="13">
      <c r="A355" s="21"/>
    </row>
    <row r="356" spans="1:1" ht="13">
      <c r="A356" s="21"/>
    </row>
    <row r="357" spans="1:1" ht="13">
      <c r="A357" s="21"/>
    </row>
    <row r="358" spans="1:1" ht="13">
      <c r="A358" s="21"/>
    </row>
    <row r="359" spans="1:1" ht="13">
      <c r="A359" s="21"/>
    </row>
    <row r="360" spans="1:1" ht="13">
      <c r="A360" s="21"/>
    </row>
    <row r="361" spans="1:1" ht="13">
      <c r="A361" s="21"/>
    </row>
    <row r="362" spans="1:1" ht="13">
      <c r="A362" s="21"/>
    </row>
    <row r="363" spans="1:1" ht="13">
      <c r="A363" s="21"/>
    </row>
    <row r="364" spans="1:1" ht="13">
      <c r="A364" s="21"/>
    </row>
    <row r="365" spans="1:1" ht="13">
      <c r="A365" s="21"/>
    </row>
    <row r="366" spans="1:1" ht="13">
      <c r="A366" s="21"/>
    </row>
    <row r="367" spans="1:1" ht="13">
      <c r="A367" s="21"/>
    </row>
    <row r="368" spans="1:1" ht="13">
      <c r="A368" s="21"/>
    </row>
    <row r="369" spans="1:1" ht="13">
      <c r="A369" s="21"/>
    </row>
    <row r="370" spans="1:1" ht="13">
      <c r="A370" s="21"/>
    </row>
    <row r="371" spans="1:1" ht="13">
      <c r="A371" s="21"/>
    </row>
    <row r="372" spans="1:1" ht="13">
      <c r="A372" s="21"/>
    </row>
    <row r="373" spans="1:1" ht="13">
      <c r="A373" s="21"/>
    </row>
    <row r="374" spans="1:1" ht="13">
      <c r="A374" s="21"/>
    </row>
    <row r="375" spans="1:1" ht="13">
      <c r="A375" s="21"/>
    </row>
    <row r="376" spans="1:1" ht="13">
      <c r="A376" s="21"/>
    </row>
    <row r="377" spans="1:1" ht="13">
      <c r="A377" s="21"/>
    </row>
    <row r="378" spans="1:1" ht="13">
      <c r="A378" s="21"/>
    </row>
    <row r="379" spans="1:1" ht="13">
      <c r="A379" s="21"/>
    </row>
    <row r="380" spans="1:1" ht="13">
      <c r="A380" s="21"/>
    </row>
    <row r="381" spans="1:1" ht="13">
      <c r="A381" s="21"/>
    </row>
    <row r="382" spans="1:1" ht="13">
      <c r="A382" s="21"/>
    </row>
    <row r="383" spans="1:1" ht="13">
      <c r="A383" s="21"/>
    </row>
    <row r="384" spans="1:1" ht="13">
      <c r="A384" s="21"/>
    </row>
    <row r="385" spans="1:1" ht="13">
      <c r="A385" s="21"/>
    </row>
    <row r="386" spans="1:1" ht="13">
      <c r="A386" s="21"/>
    </row>
    <row r="387" spans="1:1" ht="13">
      <c r="A387" s="21"/>
    </row>
    <row r="388" spans="1:1" ht="13">
      <c r="A388" s="21"/>
    </row>
    <row r="389" spans="1:1" ht="13">
      <c r="A389" s="21"/>
    </row>
    <row r="390" spans="1:1" ht="13">
      <c r="A390" s="21"/>
    </row>
    <row r="391" spans="1:1" ht="13">
      <c r="A391" s="21"/>
    </row>
    <row r="392" spans="1:1" ht="13">
      <c r="A392" s="21"/>
    </row>
    <row r="393" spans="1:1" ht="13">
      <c r="A393" s="21"/>
    </row>
    <row r="394" spans="1:1" ht="13">
      <c r="A394" s="21"/>
    </row>
    <row r="395" spans="1:1" ht="13">
      <c r="A395" s="21"/>
    </row>
    <row r="396" spans="1:1" ht="13">
      <c r="A396" s="21"/>
    </row>
    <row r="397" spans="1:1" ht="13">
      <c r="A397" s="21"/>
    </row>
    <row r="398" spans="1:1" ht="13">
      <c r="A398" s="21"/>
    </row>
    <row r="399" spans="1:1" ht="13">
      <c r="A399" s="21"/>
    </row>
    <row r="400" spans="1:1" ht="13">
      <c r="A400" s="21"/>
    </row>
    <row r="401" spans="1:1" ht="13">
      <c r="A401" s="21"/>
    </row>
    <row r="402" spans="1:1" ht="13">
      <c r="A402" s="21"/>
    </row>
    <row r="403" spans="1:1" ht="13">
      <c r="A403" s="21"/>
    </row>
    <row r="404" spans="1:1" ht="13">
      <c r="A404" s="21"/>
    </row>
    <row r="405" spans="1:1" ht="13">
      <c r="A405" s="21"/>
    </row>
    <row r="406" spans="1:1" ht="13">
      <c r="A406" s="21"/>
    </row>
    <row r="407" spans="1:1" ht="13">
      <c r="A407" s="21"/>
    </row>
    <row r="408" spans="1:1" ht="13">
      <c r="A408" s="21"/>
    </row>
    <row r="409" spans="1:1" ht="13">
      <c r="A409" s="21"/>
    </row>
    <row r="410" spans="1:1" ht="13">
      <c r="A410" s="21"/>
    </row>
    <row r="411" spans="1:1" ht="13">
      <c r="A411" s="21"/>
    </row>
    <row r="412" spans="1:1" ht="13">
      <c r="A412" s="21"/>
    </row>
    <row r="413" spans="1:1" ht="13">
      <c r="A413" s="21"/>
    </row>
    <row r="414" spans="1:1" ht="13">
      <c r="A414" s="21"/>
    </row>
    <row r="415" spans="1:1" ht="13">
      <c r="A415" s="21"/>
    </row>
    <row r="416" spans="1:1" ht="13">
      <c r="A416" s="21"/>
    </row>
    <row r="417" spans="1:1" ht="13">
      <c r="A417" s="21"/>
    </row>
    <row r="418" spans="1:1" ht="13">
      <c r="A418" s="21"/>
    </row>
    <row r="419" spans="1:1" ht="13">
      <c r="A419" s="21"/>
    </row>
    <row r="420" spans="1:1" ht="13">
      <c r="A420" s="21"/>
    </row>
    <row r="421" spans="1:1" ht="13">
      <c r="A421" s="21"/>
    </row>
    <row r="422" spans="1:1" ht="13">
      <c r="A422" s="21"/>
    </row>
    <row r="423" spans="1:1" ht="13">
      <c r="A423" s="21"/>
    </row>
    <row r="424" spans="1:1" ht="13">
      <c r="A424" s="21"/>
    </row>
    <row r="425" spans="1:1" ht="13">
      <c r="A425" s="21"/>
    </row>
    <row r="426" spans="1:1" ht="13">
      <c r="A426" s="21"/>
    </row>
    <row r="427" spans="1:1" ht="13">
      <c r="A427" s="21"/>
    </row>
    <row r="428" spans="1:1" ht="13">
      <c r="A428" s="21"/>
    </row>
    <row r="429" spans="1:1" ht="13">
      <c r="A429" s="21"/>
    </row>
    <row r="430" spans="1:1" ht="13">
      <c r="A430" s="21"/>
    </row>
    <row r="431" spans="1:1" ht="13">
      <c r="A431" s="21"/>
    </row>
    <row r="432" spans="1:1" ht="13">
      <c r="A432" s="21"/>
    </row>
    <row r="433" spans="1:1" ht="13">
      <c r="A433" s="21"/>
    </row>
    <row r="434" spans="1:1" ht="13">
      <c r="A434" s="21"/>
    </row>
    <row r="435" spans="1:1" ht="13">
      <c r="A435" s="21"/>
    </row>
    <row r="436" spans="1:1" ht="13">
      <c r="A436" s="21"/>
    </row>
    <row r="437" spans="1:1" ht="13">
      <c r="A437" s="21"/>
    </row>
    <row r="438" spans="1:1" ht="13">
      <c r="A438" s="21"/>
    </row>
    <row r="439" spans="1:1" ht="13">
      <c r="A439" s="21"/>
    </row>
    <row r="440" spans="1:1" ht="13">
      <c r="A440" s="21"/>
    </row>
    <row r="441" spans="1:1" ht="13">
      <c r="A441" s="21"/>
    </row>
    <row r="442" spans="1:1" ht="13">
      <c r="A442" s="21"/>
    </row>
    <row r="443" spans="1:1" ht="13">
      <c r="A443" s="21"/>
    </row>
    <row r="444" spans="1:1" ht="13">
      <c r="A444" s="21"/>
    </row>
    <row r="445" spans="1:1" ht="13">
      <c r="A445" s="21"/>
    </row>
    <row r="446" spans="1:1" ht="13">
      <c r="A446" s="21"/>
    </row>
    <row r="447" spans="1:1" ht="13">
      <c r="A447" s="21"/>
    </row>
    <row r="448" spans="1:1" ht="13">
      <c r="A448" s="21"/>
    </row>
    <row r="449" spans="1:1" ht="13">
      <c r="A449" s="21"/>
    </row>
    <row r="450" spans="1:1" ht="13">
      <c r="A450" s="21"/>
    </row>
    <row r="451" spans="1:1" ht="13">
      <c r="A451" s="21"/>
    </row>
    <row r="452" spans="1:1" ht="13">
      <c r="A452" s="21"/>
    </row>
    <row r="453" spans="1:1" ht="13">
      <c r="A453" s="21"/>
    </row>
    <row r="454" spans="1:1" ht="13">
      <c r="A454" s="21"/>
    </row>
    <row r="455" spans="1:1" ht="13">
      <c r="A455" s="21"/>
    </row>
    <row r="456" spans="1:1" ht="13">
      <c r="A456" s="21"/>
    </row>
    <row r="457" spans="1:1" ht="13">
      <c r="A457" s="21"/>
    </row>
    <row r="458" spans="1:1" ht="13">
      <c r="A458" s="21"/>
    </row>
    <row r="459" spans="1:1" ht="13">
      <c r="A459" s="21"/>
    </row>
    <row r="460" spans="1:1" ht="13">
      <c r="A460" s="21"/>
    </row>
    <row r="461" spans="1:1" ht="13">
      <c r="A461" s="21"/>
    </row>
    <row r="462" spans="1:1" ht="13">
      <c r="A462" s="21"/>
    </row>
    <row r="463" spans="1:1" ht="13">
      <c r="A463" s="21"/>
    </row>
    <row r="464" spans="1:1" ht="13">
      <c r="A464" s="21"/>
    </row>
    <row r="465" spans="1:1" ht="13">
      <c r="A465" s="21"/>
    </row>
    <row r="466" spans="1:1" ht="13">
      <c r="A466" s="21"/>
    </row>
    <row r="467" spans="1:1" ht="13">
      <c r="A467" s="21"/>
    </row>
    <row r="468" spans="1:1" ht="13">
      <c r="A468" s="21"/>
    </row>
    <row r="469" spans="1:1" ht="13">
      <c r="A469" s="21"/>
    </row>
    <row r="470" spans="1:1" ht="13">
      <c r="A470" s="21"/>
    </row>
    <row r="471" spans="1:1" ht="13">
      <c r="A471" s="21"/>
    </row>
    <row r="472" spans="1:1" ht="13">
      <c r="A472" s="21"/>
    </row>
    <row r="473" spans="1:1" ht="13">
      <c r="A473" s="21"/>
    </row>
    <row r="474" spans="1:1" ht="13">
      <c r="A474" s="21"/>
    </row>
    <row r="475" spans="1:1" ht="13">
      <c r="A475" s="21"/>
    </row>
    <row r="476" spans="1:1" ht="13">
      <c r="A476" s="21"/>
    </row>
    <row r="477" spans="1:1" ht="13">
      <c r="A477" s="21"/>
    </row>
    <row r="478" spans="1:1" ht="13">
      <c r="A478" s="21"/>
    </row>
    <row r="479" spans="1:1" ht="13">
      <c r="A479" s="21"/>
    </row>
    <row r="480" spans="1:1" ht="13">
      <c r="A480" s="21"/>
    </row>
    <row r="481" spans="1:1" ht="13">
      <c r="A481" s="21"/>
    </row>
    <row r="482" spans="1:1" ht="13">
      <c r="A482" s="21"/>
    </row>
    <row r="483" spans="1:1" ht="13">
      <c r="A483" s="21"/>
    </row>
    <row r="484" spans="1:1" ht="13">
      <c r="A484" s="21"/>
    </row>
    <row r="485" spans="1:1" ht="13">
      <c r="A485" s="21"/>
    </row>
    <row r="486" spans="1:1" ht="13">
      <c r="A486" s="21"/>
    </row>
    <row r="487" spans="1:1" ht="13">
      <c r="A487" s="21"/>
    </row>
    <row r="488" spans="1:1" ht="13">
      <c r="A488" s="21"/>
    </row>
    <row r="489" spans="1:1" ht="13">
      <c r="A489" s="21"/>
    </row>
    <row r="490" spans="1:1" ht="13">
      <c r="A490" s="21"/>
    </row>
    <row r="491" spans="1:1" ht="13">
      <c r="A491" s="21"/>
    </row>
    <row r="492" spans="1:1" ht="13">
      <c r="A492" s="21"/>
    </row>
    <row r="493" spans="1:1" ht="13">
      <c r="A493" s="21"/>
    </row>
    <row r="494" spans="1:1" ht="13">
      <c r="A494" s="21"/>
    </row>
    <row r="495" spans="1:1" ht="13">
      <c r="A495" s="21"/>
    </row>
    <row r="496" spans="1:1" ht="13">
      <c r="A496" s="21"/>
    </row>
    <row r="497" spans="1:1" ht="13">
      <c r="A497" s="21"/>
    </row>
    <row r="498" spans="1:1" ht="13">
      <c r="A498" s="21"/>
    </row>
    <row r="499" spans="1:1" ht="13">
      <c r="A499" s="21"/>
    </row>
    <row r="500" spans="1:1" ht="13">
      <c r="A500" s="21"/>
    </row>
    <row r="501" spans="1:1" ht="13">
      <c r="A501" s="21"/>
    </row>
    <row r="502" spans="1:1" ht="13">
      <c r="A502" s="21"/>
    </row>
    <row r="503" spans="1:1" ht="13">
      <c r="A503" s="21"/>
    </row>
    <row r="504" spans="1:1" ht="13">
      <c r="A504" s="21"/>
    </row>
    <row r="505" spans="1:1" ht="13">
      <c r="A505" s="21"/>
    </row>
    <row r="506" spans="1:1" ht="13">
      <c r="A506" s="21"/>
    </row>
    <row r="507" spans="1:1" ht="13">
      <c r="A507" s="21"/>
    </row>
    <row r="508" spans="1:1" ht="13">
      <c r="A508" s="21"/>
    </row>
    <row r="509" spans="1:1" ht="13">
      <c r="A509" s="21"/>
    </row>
    <row r="510" spans="1:1" ht="13">
      <c r="A510" s="21"/>
    </row>
    <row r="511" spans="1:1" ht="13">
      <c r="A511" s="21"/>
    </row>
    <row r="512" spans="1:1" ht="13">
      <c r="A512" s="21"/>
    </row>
    <row r="513" spans="1:1" ht="13">
      <c r="A513" s="21"/>
    </row>
    <row r="514" spans="1:1" ht="13">
      <c r="A514" s="21"/>
    </row>
    <row r="515" spans="1:1" ht="13">
      <c r="A515" s="21"/>
    </row>
    <row r="516" spans="1:1" ht="13">
      <c r="A516" s="21"/>
    </row>
    <row r="517" spans="1:1" ht="13">
      <c r="A517" s="21"/>
    </row>
    <row r="518" spans="1:1" ht="13">
      <c r="A518" s="21"/>
    </row>
    <row r="519" spans="1:1" ht="13">
      <c r="A519" s="21"/>
    </row>
    <row r="520" spans="1:1" ht="13">
      <c r="A520" s="21"/>
    </row>
    <row r="521" spans="1:1" ht="13">
      <c r="A521" s="21"/>
    </row>
    <row r="522" spans="1:1" ht="13">
      <c r="A522" s="21"/>
    </row>
    <row r="523" spans="1:1" ht="13">
      <c r="A523" s="21"/>
    </row>
    <row r="524" spans="1:1" ht="13">
      <c r="A524" s="21"/>
    </row>
    <row r="525" spans="1:1" ht="13">
      <c r="A525" s="21"/>
    </row>
    <row r="526" spans="1:1" ht="13">
      <c r="A526" s="21"/>
    </row>
    <row r="527" spans="1:1" ht="13">
      <c r="A527" s="21"/>
    </row>
    <row r="528" spans="1:1" ht="13">
      <c r="A528" s="21"/>
    </row>
    <row r="529" spans="1:1" ht="13">
      <c r="A529" s="21"/>
    </row>
    <row r="530" spans="1:1" ht="13">
      <c r="A530" s="21"/>
    </row>
    <row r="531" spans="1:1" ht="13">
      <c r="A531" s="21"/>
    </row>
    <row r="532" spans="1:1" ht="13">
      <c r="A532" s="21"/>
    </row>
    <row r="533" spans="1:1" ht="13">
      <c r="A533" s="21"/>
    </row>
    <row r="534" spans="1:1" ht="13">
      <c r="A534" s="21"/>
    </row>
    <row r="535" spans="1:1" ht="13">
      <c r="A535" s="21"/>
    </row>
    <row r="536" spans="1:1" ht="13">
      <c r="A536" s="21"/>
    </row>
    <row r="537" spans="1:1" ht="13">
      <c r="A537" s="21"/>
    </row>
    <row r="538" spans="1:1" ht="13">
      <c r="A538" s="21"/>
    </row>
  </sheetData>
  <mergeCells count="23">
    <mergeCell ref="B3:F3"/>
    <mergeCell ref="I3:M3"/>
    <mergeCell ref="P3:T3"/>
    <mergeCell ref="W3:AA3"/>
    <mergeCell ref="BT3:BX3"/>
    <mergeCell ref="BM3:BQ3"/>
    <mergeCell ref="BF3:BJ3"/>
    <mergeCell ref="AY3:BC3"/>
    <mergeCell ref="AK3:AO3"/>
    <mergeCell ref="AD3:AH3"/>
    <mergeCell ref="AR3:AV3"/>
    <mergeCell ref="A1:BZ1"/>
    <mergeCell ref="BF2:BL2"/>
    <mergeCell ref="BM2:BS2"/>
    <mergeCell ref="W2:AC2"/>
    <mergeCell ref="AD2:AJ2"/>
    <mergeCell ref="BT2:BZ2"/>
    <mergeCell ref="B2:H2"/>
    <mergeCell ref="I2:O2"/>
    <mergeCell ref="P2:V2"/>
    <mergeCell ref="AK2:AQ2"/>
    <mergeCell ref="AY2:BE2"/>
    <mergeCell ref="AR2:AX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4" manualBreakCount="4">
    <brk id="15" max="41" man="1"/>
    <brk id="29" max="41" man="1"/>
    <brk id="50" max="41" man="1"/>
    <brk id="64" max="4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U67"/>
  <sheetViews>
    <sheetView zoomScaleNormal="100" workbookViewId="0">
      <pane xSplit="1" topLeftCell="C1" activePane="topRight" state="frozen"/>
      <selection activeCell="D15" sqref="D15"/>
      <selection pane="topRight" activeCell="U29" sqref="U29:U30"/>
    </sheetView>
  </sheetViews>
  <sheetFormatPr defaultRowHeight="12.5"/>
  <cols>
    <col min="1" max="1" width="27" customWidth="1"/>
    <col min="2" max="17" width="12.7265625" customWidth="1"/>
    <col min="18" max="18" width="12.81640625" bestFit="1" customWidth="1"/>
  </cols>
  <sheetData>
    <row r="1" spans="1:21" ht="18.5" thickBot="1">
      <c r="A1" s="741" t="s">
        <v>122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  <c r="R1" s="12"/>
    </row>
    <row r="2" spans="1:21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</row>
    <row r="3" spans="1:21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</row>
    <row r="4" spans="1:21" ht="13.5" thickBot="1">
      <c r="A4" s="77" t="s">
        <v>4</v>
      </c>
      <c r="B4" s="550" t="s">
        <v>36</v>
      </c>
      <c r="C4" s="551" t="s">
        <v>37</v>
      </c>
      <c r="D4" s="551" t="s">
        <v>38</v>
      </c>
      <c r="E4" s="552" t="s">
        <v>2</v>
      </c>
      <c r="F4" s="550" t="s">
        <v>36</v>
      </c>
      <c r="G4" s="551" t="s">
        <v>37</v>
      </c>
      <c r="H4" s="551" t="s">
        <v>38</v>
      </c>
      <c r="I4" s="552" t="s">
        <v>2</v>
      </c>
      <c r="J4" s="550" t="s">
        <v>36</v>
      </c>
      <c r="K4" s="551" t="s">
        <v>37</v>
      </c>
      <c r="L4" s="551" t="s">
        <v>38</v>
      </c>
      <c r="M4" s="552" t="s">
        <v>2</v>
      </c>
      <c r="N4" s="550" t="s">
        <v>36</v>
      </c>
      <c r="O4" s="551" t="s">
        <v>37</v>
      </c>
      <c r="P4" s="551" t="s">
        <v>38</v>
      </c>
      <c r="Q4" s="552" t="s">
        <v>2</v>
      </c>
      <c r="R4" s="550" t="s">
        <v>36</v>
      </c>
      <c r="S4" s="551" t="s">
        <v>37</v>
      </c>
      <c r="T4" s="551" t="s">
        <v>38</v>
      </c>
      <c r="U4" s="552" t="s">
        <v>2</v>
      </c>
    </row>
    <row r="5" spans="1:21" ht="13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 ht="13">
      <c r="A7" s="124" t="s">
        <v>5</v>
      </c>
      <c r="B7" s="402">
        <v>245.39104820707465</v>
      </c>
      <c r="C7" s="401">
        <v>138.7130210066349</v>
      </c>
      <c r="D7" s="401">
        <v>246.24333484162895</v>
      </c>
      <c r="E7" s="41">
        <f>SUM(B7:D7)</f>
        <v>630.34740405533853</v>
      </c>
      <c r="F7" s="402">
        <v>290.98144300778256</v>
      </c>
      <c r="G7" s="401">
        <v>754.14273000301057</v>
      </c>
      <c r="H7" s="401">
        <v>373.18</v>
      </c>
      <c r="I7" s="41">
        <f>SUM(F7:H7)</f>
        <v>1418.3041730107932</v>
      </c>
      <c r="J7" s="402">
        <v>305.95670573403169</v>
      </c>
      <c r="K7" s="401">
        <v>754.14273000301057</v>
      </c>
      <c r="L7" s="401">
        <v>373.18</v>
      </c>
      <c r="M7" s="41">
        <f>SUM(J7:L7)</f>
        <v>1433.2794357370424</v>
      </c>
      <c r="N7" s="402">
        <v>360.9076494190582</v>
      </c>
      <c r="O7" s="401">
        <v>754.14273000301057</v>
      </c>
      <c r="P7" s="401">
        <v>373.18</v>
      </c>
      <c r="Q7" s="41">
        <f>SUM(N7:P7)</f>
        <v>1488.2303794220688</v>
      </c>
      <c r="R7" s="113"/>
      <c r="S7" s="401">
        <v>3870.6678530329991</v>
      </c>
      <c r="T7" s="401">
        <v>1013.04</v>
      </c>
      <c r="U7" s="41">
        <f>SUM(R7:T7)</f>
        <v>4883.7078530329991</v>
      </c>
    </row>
    <row r="8" spans="1:21" ht="13">
      <c r="A8" s="124" t="s">
        <v>6</v>
      </c>
      <c r="B8" s="402">
        <v>771.22900865080612</v>
      </c>
      <c r="C8" s="401">
        <v>138.7130210066349</v>
      </c>
      <c r="D8" s="401">
        <v>246.24333484162895</v>
      </c>
      <c r="E8" s="41">
        <f t="shared" ref="E8:E16" si="0">SUM(B8:D8)</f>
        <v>1156.1853644990699</v>
      </c>
      <c r="F8" s="402">
        <v>872.94432902334779</v>
      </c>
      <c r="G8" s="401">
        <v>754.14273000301057</v>
      </c>
      <c r="H8" s="401">
        <v>373.18</v>
      </c>
      <c r="I8" s="41">
        <f t="shared" ref="I8:I17" si="1">SUM(F8:H8)</f>
        <v>2000.2670590263585</v>
      </c>
      <c r="J8" s="402">
        <v>917.870117202095</v>
      </c>
      <c r="K8" s="401">
        <v>754.14273000301057</v>
      </c>
      <c r="L8" s="401">
        <v>373.18</v>
      </c>
      <c r="M8" s="41">
        <f t="shared" ref="M8:M23" si="2">SUM(J8:L8)</f>
        <v>2045.1928472051056</v>
      </c>
      <c r="N8" s="402">
        <v>1082.7229482571745</v>
      </c>
      <c r="O8" s="401">
        <v>754.14273000301057</v>
      </c>
      <c r="P8" s="401">
        <v>373.18</v>
      </c>
      <c r="Q8" s="41">
        <f t="shared" ref="Q8:Q30" si="3">SUM(N8:P8)</f>
        <v>2210.045678260185</v>
      </c>
      <c r="R8" s="113"/>
      <c r="S8" s="401">
        <v>3870.6678530329991</v>
      </c>
      <c r="T8" s="401">
        <v>1013.04</v>
      </c>
      <c r="U8" s="41">
        <f t="shared" ref="U8:U19" si="4">SUM(R8:T8)</f>
        <v>4883.7078530329991</v>
      </c>
    </row>
    <row r="9" spans="1:21" ht="13">
      <c r="A9" s="124" t="s">
        <v>7</v>
      </c>
      <c r="B9" s="402">
        <v>674.82538256945531</v>
      </c>
      <c r="C9" s="401">
        <v>195.52229201326981</v>
      </c>
      <c r="D9" s="401">
        <v>246.24333484162895</v>
      </c>
      <c r="E9" s="41">
        <f t="shared" si="0"/>
        <v>1116.5910094243541</v>
      </c>
      <c r="F9" s="402">
        <v>1745.8886580466956</v>
      </c>
      <c r="G9" s="401">
        <v>888.28562532861781</v>
      </c>
      <c r="H9" s="401">
        <v>373.18</v>
      </c>
      <c r="I9" s="41">
        <f t="shared" si="1"/>
        <v>3007.3542833753131</v>
      </c>
      <c r="J9" s="402">
        <v>1835.74023440419</v>
      </c>
      <c r="K9" s="401">
        <v>888.28562532861781</v>
      </c>
      <c r="L9" s="401">
        <v>373.18</v>
      </c>
      <c r="M9" s="41">
        <f t="shared" si="2"/>
        <v>3097.2058597328078</v>
      </c>
      <c r="N9" s="402">
        <v>2165.445896514349</v>
      </c>
      <c r="O9" s="401">
        <v>888.28562532861781</v>
      </c>
      <c r="P9" s="401">
        <v>373.18</v>
      </c>
      <c r="Q9" s="41">
        <f t="shared" si="3"/>
        <v>3426.9115218429665</v>
      </c>
      <c r="R9" s="113"/>
      <c r="S9" s="401">
        <v>3870.6678530329991</v>
      </c>
      <c r="T9" s="401">
        <v>1013.04</v>
      </c>
      <c r="U9" s="41">
        <f t="shared" si="4"/>
        <v>4883.7078530329991</v>
      </c>
    </row>
    <row r="10" spans="1:21" ht="13">
      <c r="A10" s="124" t="s">
        <v>105</v>
      </c>
      <c r="B10" s="402">
        <v>1349.6507651389106</v>
      </c>
      <c r="C10" s="401">
        <v>213.73179817905475</v>
      </c>
      <c r="D10" s="401">
        <v>246.24333484162895</v>
      </c>
      <c r="E10" s="41">
        <f t="shared" si="0"/>
        <v>1809.6258981595943</v>
      </c>
      <c r="F10" s="402">
        <v>4364.7216451167387</v>
      </c>
      <c r="G10" s="401">
        <v>888.28562532861781</v>
      </c>
      <c r="H10" s="401">
        <v>373.18</v>
      </c>
      <c r="I10" s="41">
        <f t="shared" si="1"/>
        <v>5626.1872704453572</v>
      </c>
      <c r="J10" s="402">
        <v>4589.3505860104751</v>
      </c>
      <c r="K10" s="401">
        <v>888.28562532861781</v>
      </c>
      <c r="L10" s="401">
        <v>373.18</v>
      </c>
      <c r="M10" s="41">
        <f t="shared" si="2"/>
        <v>5850.8162113390936</v>
      </c>
      <c r="N10" s="402">
        <v>5413.6147412858727</v>
      </c>
      <c r="O10" s="401">
        <v>888.28562532861781</v>
      </c>
      <c r="P10" s="401">
        <v>373.18</v>
      </c>
      <c r="Q10" s="41">
        <f t="shared" si="3"/>
        <v>6675.0803666144911</v>
      </c>
      <c r="R10" s="113"/>
      <c r="S10" s="401">
        <v>3870.6678530329991</v>
      </c>
      <c r="T10" s="401">
        <v>1013.04</v>
      </c>
      <c r="U10" s="41">
        <f t="shared" si="4"/>
        <v>4883.7078530329991</v>
      </c>
    </row>
    <row r="11" spans="1:21" ht="13">
      <c r="A11" s="124" t="s">
        <v>97</v>
      </c>
      <c r="B11" s="402">
        <v>1349.6507651389106</v>
      </c>
      <c r="C11" s="401">
        <v>213.73179817905475</v>
      </c>
      <c r="D11" s="401">
        <v>246.24333484162895</v>
      </c>
      <c r="E11" s="41">
        <f t="shared" si="0"/>
        <v>1809.6258981595943</v>
      </c>
      <c r="F11" s="402">
        <v>4364.7216451167387</v>
      </c>
      <c r="G11" s="401">
        <v>888.28562532861781</v>
      </c>
      <c r="H11" s="401">
        <v>373.18</v>
      </c>
      <c r="I11" s="41">
        <f t="shared" si="1"/>
        <v>5626.1872704453572</v>
      </c>
      <c r="J11" s="402">
        <v>4589.3505860104751</v>
      </c>
      <c r="K11" s="401">
        <v>888.28562532861781</v>
      </c>
      <c r="L11" s="401">
        <v>373.18</v>
      </c>
      <c r="M11" s="41">
        <f t="shared" si="2"/>
        <v>5850.8162113390936</v>
      </c>
      <c r="N11" s="402">
        <v>5413.6147412858727</v>
      </c>
      <c r="O11" s="401">
        <v>888.28562532861781</v>
      </c>
      <c r="P11" s="401">
        <v>373.18</v>
      </c>
      <c r="Q11" s="41">
        <f t="shared" si="3"/>
        <v>6675.0803666144911</v>
      </c>
      <c r="R11" s="113"/>
      <c r="S11" s="401">
        <v>3870.6678530329991</v>
      </c>
      <c r="T11" s="401">
        <v>1013.04</v>
      </c>
      <c r="U11" s="41">
        <f t="shared" si="4"/>
        <v>4883.7078530329991</v>
      </c>
    </row>
    <row r="12" spans="1:21" ht="13">
      <c r="A12" s="124" t="s">
        <v>8</v>
      </c>
      <c r="B12" s="402">
        <v>1450.0172593464001</v>
      </c>
      <c r="C12" s="401">
        <v>515.2781532122292</v>
      </c>
      <c r="D12" s="401">
        <v>246.24333484162895</v>
      </c>
      <c r="E12" s="41">
        <f t="shared" si="0"/>
        <v>2211.5387474002582</v>
      </c>
      <c r="F12" s="402">
        <v>8729.4432902334775</v>
      </c>
      <c r="G12" s="401">
        <v>1156.5714159798322</v>
      </c>
      <c r="H12" s="401">
        <v>373.18</v>
      </c>
      <c r="I12" s="41">
        <f t="shared" si="1"/>
        <v>10259.194706213309</v>
      </c>
      <c r="J12" s="402">
        <v>9178.7011720209503</v>
      </c>
      <c r="K12" s="401">
        <v>1156.5714159798322</v>
      </c>
      <c r="L12" s="401">
        <v>373.18</v>
      </c>
      <c r="M12" s="41">
        <f t="shared" si="2"/>
        <v>10708.452588000782</v>
      </c>
      <c r="N12" s="402">
        <v>7218.1529883811636</v>
      </c>
      <c r="O12" s="401">
        <v>1156.5714159798322</v>
      </c>
      <c r="P12" s="401">
        <v>373.18</v>
      </c>
      <c r="Q12" s="41">
        <f t="shared" si="3"/>
        <v>8747.9044043609956</v>
      </c>
      <c r="R12" s="113"/>
      <c r="S12" s="401">
        <v>3870.6678530329991</v>
      </c>
      <c r="T12" s="401">
        <v>1013.04</v>
      </c>
      <c r="U12" s="41">
        <f t="shared" si="4"/>
        <v>4883.7078530329991</v>
      </c>
    </row>
    <row r="13" spans="1:21" ht="13">
      <c r="A13" s="124" t="s">
        <v>9</v>
      </c>
      <c r="B13" s="402">
        <v>3184.4593349418897</v>
      </c>
      <c r="C13" s="401">
        <v>830.17368518837884</v>
      </c>
      <c r="D13" s="401">
        <v>246.24333484162895</v>
      </c>
      <c r="E13" s="41">
        <f t="shared" si="0"/>
        <v>4260.8763549718979</v>
      </c>
      <c r="F13" s="402">
        <v>17458.886580466955</v>
      </c>
      <c r="G13" s="401">
        <v>1781.4759788251249</v>
      </c>
      <c r="H13" s="401">
        <v>373.18</v>
      </c>
      <c r="I13" s="41">
        <f t="shared" si="1"/>
        <v>19613.54255929208</v>
      </c>
      <c r="J13" s="402">
        <v>18357.402344041901</v>
      </c>
      <c r="K13" s="401">
        <v>1781.4759788251249</v>
      </c>
      <c r="L13" s="401">
        <v>373.18</v>
      </c>
      <c r="M13" s="41">
        <f t="shared" si="2"/>
        <v>20512.058322867026</v>
      </c>
      <c r="N13" s="402">
        <v>10827.229482571745</v>
      </c>
      <c r="O13" s="401">
        <v>1156.5714159798322</v>
      </c>
      <c r="P13" s="401">
        <v>373.18</v>
      </c>
      <c r="Q13" s="41">
        <f t="shared" si="3"/>
        <v>12356.980898551577</v>
      </c>
      <c r="R13" s="113"/>
      <c r="S13" s="401">
        <v>3870.6678530329991</v>
      </c>
      <c r="T13" s="401">
        <v>1013.04</v>
      </c>
      <c r="U13" s="41">
        <f t="shared" si="4"/>
        <v>4883.7078530329991</v>
      </c>
    </row>
    <row r="14" spans="1:21" ht="13">
      <c r="A14" s="124" t="s">
        <v>10</v>
      </c>
      <c r="B14" s="402">
        <v>3052.2140189408547</v>
      </c>
      <c r="C14" s="401">
        <v>1578.4436203767575</v>
      </c>
      <c r="D14" s="401">
        <v>246.24333484162895</v>
      </c>
      <c r="E14" s="41">
        <f t="shared" si="0"/>
        <v>4876.9009741592408</v>
      </c>
      <c r="F14" s="402">
        <v>10312.778791627177</v>
      </c>
      <c r="G14" s="401">
        <v>1781.4759788251249</v>
      </c>
      <c r="H14" s="401">
        <v>373.18</v>
      </c>
      <c r="I14" s="41">
        <f t="shared" si="1"/>
        <v>12467.434770452302</v>
      </c>
      <c r="J14" s="402">
        <v>10632.265611560561</v>
      </c>
      <c r="K14" s="401">
        <v>1781.4759788251249</v>
      </c>
      <c r="L14" s="401">
        <v>373.18</v>
      </c>
      <c r="M14" s="41">
        <f t="shared" si="2"/>
        <v>12786.921590385686</v>
      </c>
      <c r="N14" s="402">
        <v>10827.229482571745</v>
      </c>
      <c r="O14" s="401">
        <v>1781.4759788251249</v>
      </c>
      <c r="P14" s="401">
        <v>373.18</v>
      </c>
      <c r="Q14" s="41">
        <f t="shared" si="3"/>
        <v>12981.885461396871</v>
      </c>
      <c r="R14" s="113"/>
      <c r="S14" s="401">
        <v>3870.6678530329991</v>
      </c>
      <c r="T14" s="401">
        <v>1013.04</v>
      </c>
      <c r="U14" s="41">
        <f t="shared" si="4"/>
        <v>4883.7078530329991</v>
      </c>
    </row>
    <row r="15" spans="1:21" ht="13">
      <c r="A15" s="124" t="s">
        <v>11</v>
      </c>
      <c r="B15" s="402">
        <v>6104.4280378817093</v>
      </c>
      <c r="C15" s="401">
        <v>2326.7135555651362</v>
      </c>
      <c r="D15" s="401">
        <v>246.24333484162895</v>
      </c>
      <c r="E15" s="41">
        <f t="shared" si="0"/>
        <v>8677.3849282884748</v>
      </c>
      <c r="F15" s="402">
        <v>10312.778791627177</v>
      </c>
      <c r="G15" s="401">
        <v>3562.9519576502498</v>
      </c>
      <c r="H15" s="401">
        <v>373.18</v>
      </c>
      <c r="I15" s="41">
        <f t="shared" si="1"/>
        <v>14248.910749277427</v>
      </c>
      <c r="J15" s="402">
        <v>21264.531223121121</v>
      </c>
      <c r="K15" s="401">
        <v>3562.9519576502498</v>
      </c>
      <c r="L15" s="401">
        <v>373.18</v>
      </c>
      <c r="M15" s="41">
        <f t="shared" si="2"/>
        <v>25200.663180771371</v>
      </c>
      <c r="N15" s="402">
        <v>21654.458965143491</v>
      </c>
      <c r="O15" s="401">
        <v>1781.4759788251249</v>
      </c>
      <c r="P15" s="401">
        <v>373.18</v>
      </c>
      <c r="Q15" s="41">
        <f t="shared" si="3"/>
        <v>23809.114943968616</v>
      </c>
      <c r="R15" s="113"/>
      <c r="S15" s="401">
        <v>3870.6678530329991</v>
      </c>
      <c r="T15" s="401">
        <v>1013.04</v>
      </c>
      <c r="U15" s="41">
        <f t="shared" si="4"/>
        <v>4883.7078530329991</v>
      </c>
    </row>
    <row r="16" spans="1:21" ht="13">
      <c r="A16" s="124" t="s">
        <v>101</v>
      </c>
      <c r="B16" s="402">
        <v>8622.4294367037546</v>
      </c>
      <c r="C16" s="401">
        <v>2326.7135555651362</v>
      </c>
      <c r="D16" s="401">
        <v>246.24333484162895</v>
      </c>
      <c r="E16" s="41">
        <f t="shared" si="0"/>
        <v>11195.38632711052</v>
      </c>
      <c r="F16" s="402">
        <v>20625.557583254355</v>
      </c>
      <c r="G16" s="401">
        <v>4799.9629618624504</v>
      </c>
      <c r="H16" s="401">
        <v>373.18</v>
      </c>
      <c r="I16" s="41">
        <f t="shared" si="1"/>
        <v>25798.700545116804</v>
      </c>
      <c r="J16" s="402">
        <v>11980.265558589947</v>
      </c>
      <c r="K16" s="401">
        <v>4799.9629618624504</v>
      </c>
      <c r="L16" s="401">
        <v>373.18</v>
      </c>
      <c r="M16" s="41">
        <f t="shared" si="2"/>
        <v>17153.408520452398</v>
      </c>
      <c r="N16" s="402">
        <v>11342.068843866331</v>
      </c>
      <c r="O16" s="401">
        <v>2399.9814809312252</v>
      </c>
      <c r="P16" s="401">
        <v>373.18</v>
      </c>
      <c r="Q16" s="41">
        <f t="shared" si="3"/>
        <v>14115.230324797556</v>
      </c>
      <c r="R16" s="113"/>
      <c r="S16" s="401">
        <v>3870.6678530329991</v>
      </c>
      <c r="T16" s="401">
        <v>1013.04</v>
      </c>
      <c r="U16" s="41">
        <f t="shared" si="4"/>
        <v>4883.7078530329991</v>
      </c>
    </row>
    <row r="17" spans="1:21" ht="13">
      <c r="A17" s="124" t="s">
        <v>102</v>
      </c>
      <c r="B17" s="113"/>
      <c r="C17" s="98"/>
      <c r="D17" s="98"/>
      <c r="E17" s="41"/>
      <c r="F17" s="402">
        <v>20625.557583254355</v>
      </c>
      <c r="G17" s="401">
        <v>4799.9629618624504</v>
      </c>
      <c r="H17" s="401">
        <v>373.18</v>
      </c>
      <c r="I17" s="41">
        <f t="shared" si="1"/>
        <v>25798.700545116804</v>
      </c>
      <c r="J17" s="402">
        <v>11980.265558589947</v>
      </c>
      <c r="K17" s="401">
        <v>4799.9629618624504</v>
      </c>
      <c r="L17" s="401">
        <v>373.18</v>
      </c>
      <c r="M17" s="41">
        <f t="shared" si="2"/>
        <v>17153.408520452398</v>
      </c>
      <c r="N17" s="402">
        <v>11342.068843866331</v>
      </c>
      <c r="O17" s="401">
        <v>2399.9814809312252</v>
      </c>
      <c r="P17" s="401">
        <v>373.18</v>
      </c>
      <c r="Q17" s="41">
        <f t="shared" si="3"/>
        <v>14115.230324797556</v>
      </c>
      <c r="R17" s="113"/>
      <c r="S17" s="401">
        <v>3870.6678530329991</v>
      </c>
      <c r="T17" s="401">
        <v>1013.04</v>
      </c>
      <c r="U17" s="41">
        <f t="shared" si="4"/>
        <v>4883.7078530329991</v>
      </c>
    </row>
    <row r="18" spans="1:21" ht="13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v>23960.531117179893</v>
      </c>
      <c r="K18" s="401">
        <v>7831.0276978534475</v>
      </c>
      <c r="L18" s="401">
        <v>373.18</v>
      </c>
      <c r="M18" s="41">
        <f t="shared" si="2"/>
        <v>32164.738815033343</v>
      </c>
      <c r="N18" s="402">
        <v>22684.137687732662</v>
      </c>
      <c r="O18" s="401">
        <v>3915.5138489267238</v>
      </c>
      <c r="P18" s="401">
        <v>373.18</v>
      </c>
      <c r="Q18" s="41">
        <f t="shared" si="3"/>
        <v>26972.831536659385</v>
      </c>
      <c r="R18" s="113"/>
      <c r="S18" s="401">
        <v>3870.6678530329991</v>
      </c>
      <c r="T18" s="401">
        <v>1013.04</v>
      </c>
      <c r="U18" s="41">
        <f t="shared" si="4"/>
        <v>4883.7078530329991</v>
      </c>
    </row>
    <row r="19" spans="1:21" ht="13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2">
        <v>30684.970824404387</v>
      </c>
      <c r="K19" s="401">
        <v>11746.541546780172</v>
      </c>
      <c r="L19" s="401">
        <v>373.18</v>
      </c>
      <c r="M19" s="41">
        <f t="shared" si="2"/>
        <v>42804.692371184559</v>
      </c>
      <c r="N19" s="402">
        <v>22684.137687732662</v>
      </c>
      <c r="O19" s="401">
        <v>4799.9629618624504</v>
      </c>
      <c r="P19" s="401">
        <v>373.18</v>
      </c>
      <c r="Q19" s="41">
        <f t="shared" si="3"/>
        <v>27857.280649595112</v>
      </c>
      <c r="R19" s="113"/>
      <c r="S19" s="401">
        <v>3870.6678530329991</v>
      </c>
      <c r="T19" s="401">
        <v>1013.04</v>
      </c>
      <c r="U19" s="41">
        <f t="shared" si="4"/>
        <v>4883.7078530329991</v>
      </c>
    </row>
    <row r="20" spans="1:21" ht="13">
      <c r="A20" s="124" t="s">
        <v>103</v>
      </c>
      <c r="B20" s="113"/>
      <c r="C20" s="98"/>
      <c r="D20" s="98"/>
      <c r="E20" s="41"/>
      <c r="F20" s="113"/>
      <c r="G20" s="98"/>
      <c r="H20" s="98"/>
      <c r="I20" s="41"/>
      <c r="J20" s="402">
        <v>20736.649964965192</v>
      </c>
      <c r="K20" s="401">
        <v>11746.541546780172</v>
      </c>
      <c r="L20" s="401">
        <v>373.18</v>
      </c>
      <c r="M20" s="41">
        <f t="shared" si="2"/>
        <v>32856.371511745361</v>
      </c>
      <c r="N20" s="402">
        <v>17521.618447137709</v>
      </c>
      <c r="O20" s="401">
        <v>4799.9629618624504</v>
      </c>
      <c r="P20" s="401">
        <v>373.18</v>
      </c>
      <c r="Q20" s="41">
        <f>SUM(N20:P20)</f>
        <v>22694.761409000159</v>
      </c>
      <c r="R20" s="113"/>
      <c r="S20" s="401">
        <v>3870.6678530329991</v>
      </c>
      <c r="T20" s="401">
        <v>1013.04</v>
      </c>
      <c r="U20" s="41">
        <f>SUM(R20:T20)</f>
        <v>4883.7078530329991</v>
      </c>
    </row>
    <row r="21" spans="1:21" ht="13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402">
        <v>20736.649964965192</v>
      </c>
      <c r="K21" s="401">
        <v>11746.541546780172</v>
      </c>
      <c r="L21" s="401">
        <v>373.18</v>
      </c>
      <c r="M21" s="41">
        <f t="shared" si="2"/>
        <v>32856.371511745361</v>
      </c>
      <c r="N21" s="402">
        <v>17521.618447137709</v>
      </c>
      <c r="O21" s="401">
        <v>4799.9629618624504</v>
      </c>
      <c r="P21" s="401">
        <v>373.18</v>
      </c>
      <c r="Q21" s="41">
        <f t="shared" si="3"/>
        <v>22694.761409000159</v>
      </c>
      <c r="R21" s="113"/>
      <c r="S21" s="401">
        <v>3870.6678530329991</v>
      </c>
      <c r="T21" s="401">
        <v>1013.04</v>
      </c>
      <c r="U21" s="41">
        <f t="shared" ref="U21:U30" si="5">SUM(R21:T21)</f>
        <v>4883.7078530329991</v>
      </c>
    </row>
    <row r="22" spans="1:21" ht="13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v>20736.649964965192</v>
      </c>
      <c r="K22" s="401">
        <v>15662.055395706895</v>
      </c>
      <c r="L22" s="401">
        <v>373.18</v>
      </c>
      <c r="M22" s="41">
        <f t="shared" si="2"/>
        <v>36771.885360672088</v>
      </c>
      <c r="N22" s="402">
        <v>17521.618447137709</v>
      </c>
      <c r="O22" s="401">
        <v>7831.0276978534475</v>
      </c>
      <c r="P22" s="401">
        <v>373.18</v>
      </c>
      <c r="Q22" s="41">
        <f t="shared" si="3"/>
        <v>25725.826144991159</v>
      </c>
      <c r="R22" s="113"/>
      <c r="S22" s="401">
        <v>3870.6678530329991</v>
      </c>
      <c r="T22" s="401">
        <v>1013.04</v>
      </c>
      <c r="U22" s="41">
        <f t="shared" si="5"/>
        <v>4883.7078530329991</v>
      </c>
    </row>
    <row r="23" spans="1:21" ht="13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v>24346.636715062614</v>
      </c>
      <c r="K23" s="401">
        <v>19577.569244633622</v>
      </c>
      <c r="L23" s="401">
        <v>373.18</v>
      </c>
      <c r="M23" s="41">
        <f t="shared" si="2"/>
        <v>44297.385959696236</v>
      </c>
      <c r="N23" s="402">
        <v>21241.565827961535</v>
      </c>
      <c r="O23" s="401">
        <v>7831.0276978534475</v>
      </c>
      <c r="P23" s="401">
        <v>373.18</v>
      </c>
      <c r="Q23" s="41">
        <f t="shared" si="3"/>
        <v>29445.773525814984</v>
      </c>
      <c r="R23" s="113"/>
      <c r="S23" s="401">
        <v>3870.6678530329991</v>
      </c>
      <c r="T23" s="401">
        <v>1013.04</v>
      </c>
      <c r="U23" s="41">
        <f t="shared" si="5"/>
        <v>4883.7078530329991</v>
      </c>
    </row>
    <row r="24" spans="1:21" ht="13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v>48693.273430125228</v>
      </c>
      <c r="K24" s="401">
        <v>23493.083093560344</v>
      </c>
      <c r="L24" s="401">
        <v>373.18</v>
      </c>
      <c r="M24" s="41">
        <f>SUM(J24:L24)</f>
        <v>72559.536523685558</v>
      </c>
      <c r="N24" s="402">
        <v>42483.131655923069</v>
      </c>
      <c r="O24" s="401">
        <v>7831.0276978534475</v>
      </c>
      <c r="P24" s="401">
        <v>373.18</v>
      </c>
      <c r="Q24" s="41">
        <f t="shared" si="3"/>
        <v>50687.339353776515</v>
      </c>
      <c r="R24" s="113"/>
      <c r="S24" s="401">
        <v>3870.6678530329991</v>
      </c>
      <c r="T24" s="401">
        <v>1013.04</v>
      </c>
      <c r="U24" s="41">
        <f t="shared" si="5"/>
        <v>4883.7078530329991</v>
      </c>
    </row>
    <row r="25" spans="1:21" ht="13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v>48693.273430125228</v>
      </c>
      <c r="K25" s="401">
        <v>35239.624640340517</v>
      </c>
      <c r="L25" s="401">
        <v>373.18</v>
      </c>
      <c r="M25" s="41">
        <f>SUM(J25:L25)</f>
        <v>84306.078070465737</v>
      </c>
      <c r="N25" s="402">
        <v>24541.349087566312</v>
      </c>
      <c r="O25" s="401">
        <v>11746.541546780172</v>
      </c>
      <c r="P25" s="401">
        <v>373.18</v>
      </c>
      <c r="Q25" s="41">
        <f t="shared" si="3"/>
        <v>36661.070634346484</v>
      </c>
      <c r="R25" s="113"/>
      <c r="S25" s="401">
        <v>3870.6678530329991</v>
      </c>
      <c r="T25" s="401">
        <v>1013.04</v>
      </c>
      <c r="U25" s="41">
        <f t="shared" si="5"/>
        <v>4883.7078530329991</v>
      </c>
    </row>
    <row r="26" spans="1:21" ht="13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v>48693.273430125228</v>
      </c>
      <c r="K26" s="401">
        <v>46986.166187120689</v>
      </c>
      <c r="L26" s="401">
        <v>373.18</v>
      </c>
      <c r="M26" s="41">
        <f>SUM(J26:L26)</f>
        <v>96052.619617245917</v>
      </c>
      <c r="N26" s="402">
        <v>49082.698175132624</v>
      </c>
      <c r="O26" s="401">
        <v>15662.055395706895</v>
      </c>
      <c r="P26" s="401">
        <v>373.18</v>
      </c>
      <c r="Q26" s="41">
        <f t="shared" si="3"/>
        <v>65117.933570839516</v>
      </c>
      <c r="R26" s="113"/>
      <c r="S26" s="401">
        <v>3870.6678530329991</v>
      </c>
      <c r="T26" s="401">
        <v>1013.04</v>
      </c>
      <c r="U26" s="41">
        <f t="shared" si="5"/>
        <v>4883.7078530329991</v>
      </c>
    </row>
    <row r="27" spans="1:21" ht="13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2">
        <v>48693.273430125228</v>
      </c>
      <c r="K27" s="401">
        <v>46986.166187120689</v>
      </c>
      <c r="L27" s="401">
        <v>373.18</v>
      </c>
      <c r="M27" s="41">
        <f>SUM(J27:L27)</f>
        <v>96052.619617245917</v>
      </c>
      <c r="N27" s="402">
        <v>49082.698175132624</v>
      </c>
      <c r="O27" s="401">
        <v>19577.569244633622</v>
      </c>
      <c r="P27" s="401">
        <v>373.18</v>
      </c>
      <c r="Q27" s="41">
        <f t="shared" si="3"/>
        <v>69033.447419766235</v>
      </c>
      <c r="R27" s="113"/>
      <c r="S27" s="401">
        <v>3870.6678530329991</v>
      </c>
      <c r="T27" s="401">
        <v>1013.04</v>
      </c>
      <c r="U27" s="41">
        <f t="shared" si="5"/>
        <v>4883.7078530329991</v>
      </c>
    </row>
    <row r="28" spans="1:21" ht="13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2">
        <v>48693.273430125228</v>
      </c>
      <c r="K28" s="401">
        <v>46986.166187120689</v>
      </c>
      <c r="L28" s="401">
        <v>373.18</v>
      </c>
      <c r="M28" s="41">
        <f>SUM(J28:L28)</f>
        <v>96052.619617245917</v>
      </c>
      <c r="N28" s="402">
        <v>62400.892927889297</v>
      </c>
      <c r="O28" s="401">
        <v>31324.11079141379</v>
      </c>
      <c r="P28" s="401">
        <v>373.18</v>
      </c>
      <c r="Q28" s="41">
        <f t="shared" si="3"/>
        <v>94098.183719303081</v>
      </c>
      <c r="R28" s="113"/>
      <c r="S28" s="401">
        <v>3870.6678530329991</v>
      </c>
      <c r="T28" s="401">
        <v>1013.04</v>
      </c>
      <c r="U28" s="41">
        <f t="shared" si="5"/>
        <v>4883.7078530329991</v>
      </c>
    </row>
    <row r="29" spans="1:21" ht="13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402">
        <v>62400.892927889297</v>
      </c>
      <c r="O29" s="401">
        <v>39155.138489267243</v>
      </c>
      <c r="P29" s="401">
        <v>373.18</v>
      </c>
      <c r="Q29" s="41">
        <f t="shared" si="3"/>
        <v>101929.21141715653</v>
      </c>
      <c r="R29" s="113"/>
      <c r="S29" s="401">
        <v>3870.6678530329991</v>
      </c>
      <c r="T29" s="401">
        <v>1013.04</v>
      </c>
      <c r="U29" s="41">
        <f t="shared" si="5"/>
        <v>4883.7078530329991</v>
      </c>
    </row>
    <row r="30" spans="1:21" ht="13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113"/>
      <c r="K30" s="23"/>
      <c r="L30" s="23"/>
      <c r="M30" s="41"/>
      <c r="N30" s="402">
        <v>68150.567841889278</v>
      </c>
      <c r="O30" s="401">
        <v>46986.166187120689</v>
      </c>
      <c r="P30" s="401">
        <v>373.18</v>
      </c>
      <c r="Q30" s="41">
        <f t="shared" si="3"/>
        <v>115509.91402900996</v>
      </c>
      <c r="R30" s="113"/>
      <c r="S30" s="401">
        <v>3870.6678530329991</v>
      </c>
      <c r="T30" s="401">
        <v>1013.04</v>
      </c>
      <c r="U30" s="41">
        <f t="shared" si="5"/>
        <v>4883.7078530329991</v>
      </c>
    </row>
    <row r="31" spans="1:21" ht="13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 ht="13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 ht="13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 ht="13">
      <c r="A34" s="124" t="s">
        <v>106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 ht="13">
      <c r="A35" s="124" t="s">
        <v>107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 ht="13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 ht="13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</row>
    <row r="39" spans="1:21" ht="13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414"/>
    </row>
    <row r="40" spans="1:21" ht="13">
      <c r="A40" s="29" t="s">
        <v>271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 ht="13">
      <c r="A41" s="29"/>
      <c r="B41" s="433" t="s">
        <v>341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" thickBot="1">
      <c r="A42" s="15"/>
      <c r="B42" s="432" t="s">
        <v>270</v>
      </c>
      <c r="C42" s="422"/>
      <c r="D42" s="422"/>
      <c r="E42" s="422"/>
      <c r="F42" s="424"/>
      <c r="G42" s="424"/>
      <c r="H42" s="424"/>
      <c r="I42" s="424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5"/>
    </row>
    <row r="43" spans="1:21">
      <c r="B43" s="393"/>
      <c r="C43" s="393"/>
      <c r="D43" s="393"/>
      <c r="E43" s="393"/>
      <c r="F43" s="331"/>
      <c r="G43" s="331"/>
      <c r="H43" s="331"/>
      <c r="I43" s="331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</row>
    <row r="44" spans="1:21">
      <c r="B44" s="393"/>
      <c r="C44" s="393"/>
      <c r="D44" s="393"/>
      <c r="E44" s="393"/>
      <c r="F44" s="331"/>
      <c r="G44" s="331"/>
      <c r="H44" s="331"/>
      <c r="I44" s="331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</row>
    <row r="45" spans="1:21">
      <c r="B45" s="393"/>
      <c r="C45" s="393"/>
      <c r="D45" s="393"/>
      <c r="E45" s="393"/>
      <c r="F45" s="331"/>
      <c r="G45" s="331"/>
      <c r="H45" s="331"/>
      <c r="I45" s="331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</row>
    <row r="46" spans="1:21">
      <c r="B46" s="393"/>
      <c r="C46" s="393"/>
      <c r="D46" s="393"/>
      <c r="E46" s="393"/>
      <c r="F46" s="331"/>
      <c r="G46" s="331"/>
      <c r="H46" s="331"/>
      <c r="I46" s="331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</row>
    <row r="47" spans="1:21">
      <c r="B47" s="393"/>
      <c r="C47" s="393"/>
      <c r="D47" s="393"/>
      <c r="E47" s="393"/>
      <c r="F47" s="331"/>
      <c r="G47" s="331"/>
      <c r="H47" s="331"/>
      <c r="I47" s="331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</row>
    <row r="48" spans="1:21">
      <c r="B48" s="393"/>
      <c r="C48" s="393"/>
      <c r="D48" s="393"/>
      <c r="E48" s="393"/>
      <c r="F48" s="331"/>
      <c r="G48" s="331"/>
      <c r="H48" s="331"/>
      <c r="I48" s="331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</row>
    <row r="49" spans="2:21">
      <c r="B49" s="393"/>
      <c r="C49" s="393"/>
      <c r="D49" s="393"/>
      <c r="E49" s="393"/>
      <c r="F49" s="331"/>
      <c r="G49" s="331"/>
      <c r="H49" s="331"/>
      <c r="I49" s="331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</row>
    <row r="50" spans="2:21">
      <c r="B50" s="393"/>
      <c r="C50" s="393"/>
      <c r="D50" s="393"/>
      <c r="E50" s="393"/>
      <c r="F50" s="331"/>
      <c r="G50" s="331"/>
      <c r="H50" s="331"/>
      <c r="I50" s="331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</row>
    <row r="51" spans="2:21">
      <c r="F51" s="331"/>
      <c r="G51" s="331"/>
      <c r="H51" s="331"/>
      <c r="I51" s="331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</row>
    <row r="52" spans="2:21">
      <c r="F52" s="331"/>
      <c r="G52" s="331"/>
      <c r="H52" s="331"/>
      <c r="I52" s="331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</row>
    <row r="53" spans="2:21"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</row>
    <row r="54" spans="2:21"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</row>
    <row r="55" spans="2:21"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</row>
    <row r="56" spans="2:21"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</row>
    <row r="57" spans="2:21"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</row>
    <row r="58" spans="2:21"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</row>
    <row r="59" spans="2:21"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</row>
    <row r="60" spans="2:21"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</row>
    <row r="61" spans="2:21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</row>
    <row r="62" spans="2:21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</row>
    <row r="63" spans="2:21"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</row>
    <row r="64" spans="2:21">
      <c r="N64" s="393"/>
      <c r="O64" s="393"/>
      <c r="P64" s="393"/>
      <c r="Q64" s="393"/>
      <c r="R64" s="393"/>
      <c r="S64" s="393"/>
      <c r="T64" s="393"/>
      <c r="U64" s="393"/>
    </row>
    <row r="65" spans="17:17">
      <c r="Q65" s="392"/>
    </row>
    <row r="66" spans="17:17">
      <c r="Q66" s="392"/>
    </row>
    <row r="67" spans="17:17">
      <c r="Q67" s="39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4">
    <tabColor rgb="FFC00000"/>
    <pageSetUpPr fitToPage="1"/>
  </sheetPr>
  <dimension ref="A1:U67"/>
  <sheetViews>
    <sheetView topLeftCell="A34" zoomScaleNormal="100" workbookViewId="0">
      <pane xSplit="1" topLeftCell="B1" activePane="topRight" state="frozen"/>
      <selection activeCell="D15" sqref="D15"/>
      <selection pane="topRight" activeCell="B41" sqref="B41"/>
    </sheetView>
  </sheetViews>
  <sheetFormatPr defaultRowHeight="12.5"/>
  <cols>
    <col min="1" max="1" width="27" customWidth="1"/>
    <col min="2" max="17" width="12.7265625" customWidth="1"/>
    <col min="18" max="18" width="12.81640625" bestFit="1" customWidth="1"/>
  </cols>
  <sheetData>
    <row r="1" spans="1:21" ht="18.5" thickBot="1">
      <c r="A1" s="741" t="s">
        <v>122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  <c r="R1" s="12"/>
    </row>
    <row r="2" spans="1:21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</row>
    <row r="3" spans="1:21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</row>
    <row r="4" spans="1:21" ht="13.5" thickBot="1">
      <c r="A4" s="77" t="s">
        <v>4</v>
      </c>
      <c r="B4" s="235" t="s">
        <v>36</v>
      </c>
      <c r="C4" s="236" t="s">
        <v>37</v>
      </c>
      <c r="D4" s="236" t="s">
        <v>38</v>
      </c>
      <c r="E4" s="237" t="s">
        <v>2</v>
      </c>
      <c r="F4" s="235" t="s">
        <v>36</v>
      </c>
      <c r="G4" s="236" t="s">
        <v>37</v>
      </c>
      <c r="H4" s="236" t="s">
        <v>38</v>
      </c>
      <c r="I4" s="237" t="s">
        <v>2</v>
      </c>
      <c r="J4" s="235" t="s">
        <v>36</v>
      </c>
      <c r="K4" s="236" t="s">
        <v>37</v>
      </c>
      <c r="L4" s="236" t="s">
        <v>38</v>
      </c>
      <c r="M4" s="237" t="s">
        <v>2</v>
      </c>
      <c r="N4" s="235" t="s">
        <v>36</v>
      </c>
      <c r="O4" s="236" t="s">
        <v>37</v>
      </c>
      <c r="P4" s="236" t="s">
        <v>38</v>
      </c>
      <c r="Q4" s="237" t="s">
        <v>2</v>
      </c>
      <c r="R4" s="235" t="s">
        <v>36</v>
      </c>
      <c r="S4" s="236" t="s">
        <v>37</v>
      </c>
      <c r="T4" s="236" t="s">
        <v>38</v>
      </c>
      <c r="U4" s="237" t="s">
        <v>2</v>
      </c>
    </row>
    <row r="5" spans="1:21" ht="13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 ht="13">
      <c r="A7" s="124" t="s">
        <v>5</v>
      </c>
      <c r="B7" s="556">
        <f>IF('Resid TSM UC'!E7&gt;Inputs!$C$20,'Resid TSM UC'!B7-'Resid TSM UC'!E7+Inputs!$C$20,'Resid TSM UC'!B7)</f>
        <v>245.39104820707465</v>
      </c>
      <c r="C7" s="401">
        <f>'Resid TSM UC'!C7</f>
        <v>138.7130210066349</v>
      </c>
      <c r="D7" s="401">
        <f>'Resid TSM UC'!D7</f>
        <v>246.24333484162895</v>
      </c>
      <c r="E7" s="41">
        <f>SUM(B7:D7)</f>
        <v>630.34740405533853</v>
      </c>
      <c r="F7" s="556">
        <f>IF(IF('Resid TSM UC'!I7&gt;Inputs!$C$20,'Resid TSM UC'!F7-'Resid TSM UC'!I7+Inputs!$C$20,'Resid TSM UC'!F7)&lt;0,0,IF('Resid TSM UC'!I7&gt;Inputs!$C$20,'Resid TSM UC'!F7-'Resid TSM UC'!I7+Inputs!$C$20,'Resid TSM UC'!F7))</f>
        <v>290.98144300778256</v>
      </c>
      <c r="G7" s="401">
        <f>IF(F7=0,'Resid TSM UC'!G7+('Resid TSM UC'!F7-'Resid TSM UC'!I7+Inputs!$C$20),'Resid TSM UC'!G7)</f>
        <v>754.14273000301057</v>
      </c>
      <c r="H7" s="401">
        <f>'Resid TSM UC'!H7</f>
        <v>373.18</v>
      </c>
      <c r="I7" s="41">
        <f>SUM(F7:H7)</f>
        <v>1418.3041730107932</v>
      </c>
      <c r="J7" s="556">
        <f>IF(IF('Resid TSM UC'!M7&gt;Inputs!$C$20,'Resid TSM UC'!J7-'Resid TSM UC'!M7+Inputs!$C$20,'Resid TSM UC'!J7)&lt;0,0,IF('Resid TSM UC'!M7&gt;Inputs!$C$20,'Resid TSM UC'!J7-'Resid TSM UC'!M7+Inputs!$C$20,'Resid TSM UC'!J7))</f>
        <v>305.95670573403169</v>
      </c>
      <c r="K7" s="401">
        <f>IF(J7=0,'Resid TSM UC'!K7+('Resid TSM UC'!J7-'Resid TSM UC'!M7+Inputs!$C$20),'Resid TSM UC'!K7)</f>
        <v>754.14273000301057</v>
      </c>
      <c r="L7" s="401">
        <f>'Resid TSM UC'!L7</f>
        <v>373.18</v>
      </c>
      <c r="M7" s="41">
        <f>SUM(J7:L7)</f>
        <v>1433.2794357370424</v>
      </c>
      <c r="N7" s="556">
        <f>IF(IF('Resid TSM UC'!Q7&gt;Inputs!$C$20,'Resid TSM UC'!N7-'Resid TSM UC'!Q7+Inputs!$C$20,'Resid TSM UC'!N7)&lt;0,0,IF('Resid TSM UC'!Q7&gt;Inputs!$C$20,'Resid TSM UC'!N7-'Resid TSM UC'!Q7+Inputs!$C$20,'Resid TSM UC'!N7))</f>
        <v>360.9076494190582</v>
      </c>
      <c r="O7" s="401">
        <f>IF(N7=0,'Resid TSM UC'!O7+('Resid TSM UC'!N7-'Resid TSM UC'!Q7+Inputs!$C$20),'Resid TSM UC'!O7)</f>
        <v>754.14273000301057</v>
      </c>
      <c r="P7" s="401">
        <f>'Resid TSM UC'!P7</f>
        <v>373.18</v>
      </c>
      <c r="Q7" s="41">
        <f>SUM(N7:P7)</f>
        <v>1488.2303794220688</v>
      </c>
      <c r="R7" s="113"/>
      <c r="S7" s="401">
        <f>IF(R7=0,'Resid TSM UC'!S7+('Resid TSM UC'!R7-'Resid TSM UC'!U7+Inputs!$C$20),'Resid TSM UC'!S7)</f>
        <v>2227.96</v>
      </c>
      <c r="T7" s="401">
        <f>'Resid TSM UC'!T7</f>
        <v>1013.04</v>
      </c>
      <c r="U7" s="41">
        <f>SUM(R7:T7)</f>
        <v>3241</v>
      </c>
    </row>
    <row r="8" spans="1:21" ht="13">
      <c r="A8" s="124" t="s">
        <v>6</v>
      </c>
      <c r="B8" s="556">
        <f>IF('Resid TSM UC'!E8&gt;Inputs!$C$20,'Resid TSM UC'!B8-'Resid TSM UC'!E8+Inputs!$C$20,'Resid TSM UC'!B8)</f>
        <v>771.22900865080612</v>
      </c>
      <c r="C8" s="401">
        <f>'Resid TSM UC'!C8</f>
        <v>138.7130210066349</v>
      </c>
      <c r="D8" s="401">
        <f>'Resid TSM UC'!D8</f>
        <v>246.24333484162895</v>
      </c>
      <c r="E8" s="41">
        <f t="shared" ref="E8:E16" si="0">SUM(B8:D8)</f>
        <v>1156.1853644990699</v>
      </c>
      <c r="F8" s="556">
        <f>IF(IF('Resid TSM UC'!I8&gt;Inputs!$C$20,'Resid TSM UC'!F8-'Resid TSM UC'!I8+Inputs!$C$20,'Resid TSM UC'!F8)&lt;0,0,IF('Resid TSM UC'!I8&gt;Inputs!$C$20,'Resid TSM UC'!F8-'Resid TSM UC'!I8+Inputs!$C$20,'Resid TSM UC'!F8))</f>
        <v>872.94432902334779</v>
      </c>
      <c r="G8" s="401">
        <f>IF(F8=0,'Resid TSM UC'!G8+('Resid TSM UC'!F8-'Resid TSM UC'!I8+Inputs!$C$20),'Resid TSM UC'!G8)</f>
        <v>754.14273000301057</v>
      </c>
      <c r="H8" s="401">
        <f>'Resid TSM UC'!H8</f>
        <v>373.18</v>
      </c>
      <c r="I8" s="41">
        <f t="shared" ref="I8:I17" si="1">SUM(F8:H8)</f>
        <v>2000.2670590263585</v>
      </c>
      <c r="J8" s="556">
        <f>IF(IF('Resid TSM UC'!M8&gt;Inputs!$C$20,'Resid TSM UC'!J8-'Resid TSM UC'!M8+Inputs!$C$20,'Resid TSM UC'!J8)&lt;0,0,IF('Resid TSM UC'!M8&gt;Inputs!$C$20,'Resid TSM UC'!J8-'Resid TSM UC'!M8+Inputs!$C$20,'Resid TSM UC'!J8))</f>
        <v>917.870117202095</v>
      </c>
      <c r="K8" s="401">
        <f>IF(J8=0,'Resid TSM UC'!K8+('Resid TSM UC'!J8-'Resid TSM UC'!M8+Inputs!$C$20),'Resid TSM UC'!K8)</f>
        <v>754.14273000301057</v>
      </c>
      <c r="L8" s="401">
        <f>'Resid TSM UC'!L8</f>
        <v>373.18</v>
      </c>
      <c r="M8" s="41">
        <f t="shared" ref="M8:M23" si="2">SUM(J8:L8)</f>
        <v>2045.1928472051056</v>
      </c>
      <c r="N8" s="556">
        <f>IF(IF('Resid TSM UC'!Q8&gt;Inputs!$C$20,'Resid TSM UC'!N8-'Resid TSM UC'!Q8+Inputs!$C$20,'Resid TSM UC'!N8)&lt;0,0,IF('Resid TSM UC'!Q8&gt;Inputs!$C$20,'Resid TSM UC'!N8-'Resid TSM UC'!Q8+Inputs!$C$20,'Resid TSM UC'!N8))</f>
        <v>1082.7229482571745</v>
      </c>
      <c r="O8" s="401">
        <f>IF(N8=0,'Resid TSM UC'!O8+('Resid TSM UC'!N8-'Resid TSM UC'!Q8+Inputs!$C$20),'Resid TSM UC'!O8)</f>
        <v>754.14273000301057</v>
      </c>
      <c r="P8" s="401">
        <f>'Resid TSM UC'!P8</f>
        <v>373.18</v>
      </c>
      <c r="Q8" s="41">
        <f t="shared" ref="Q8:Q29" si="3">SUM(N8:P8)</f>
        <v>2210.045678260185</v>
      </c>
      <c r="R8" s="113"/>
      <c r="S8" s="401">
        <f>IF(R8=0,'Resid TSM UC'!S8+('Resid TSM UC'!R8-'Resid TSM UC'!U8+Inputs!$C$20),'Resid TSM UC'!S8)</f>
        <v>2227.96</v>
      </c>
      <c r="T8" s="401">
        <f>'Resid TSM UC'!T8</f>
        <v>1013.04</v>
      </c>
      <c r="U8" s="41">
        <f t="shared" ref="U8:U19" si="4">SUM(R8:T8)</f>
        <v>3241</v>
      </c>
    </row>
    <row r="9" spans="1:21" ht="13">
      <c r="A9" s="124" t="s">
        <v>7</v>
      </c>
      <c r="B9" s="556">
        <f>IF('Resid TSM UC'!E9&gt;Inputs!$C$20,'Resid TSM UC'!B9-'Resid TSM UC'!E9+Inputs!$C$20,'Resid TSM UC'!B9)</f>
        <v>674.82538256945531</v>
      </c>
      <c r="C9" s="401">
        <f>'Resid TSM UC'!C9</f>
        <v>195.52229201326981</v>
      </c>
      <c r="D9" s="401">
        <f>'Resid TSM UC'!D9</f>
        <v>246.24333484162895</v>
      </c>
      <c r="E9" s="41">
        <f t="shared" si="0"/>
        <v>1116.5910094243541</v>
      </c>
      <c r="F9" s="556">
        <f>IF(IF('Resid TSM UC'!I9&gt;Inputs!$C$20,'Resid TSM UC'!F9-'Resid TSM UC'!I9+Inputs!$C$20,'Resid TSM UC'!F9)&lt;0,0,IF('Resid TSM UC'!I9&gt;Inputs!$C$20,'Resid TSM UC'!F9-'Resid TSM UC'!I9+Inputs!$C$20,'Resid TSM UC'!F9))</f>
        <v>1745.8886580466956</v>
      </c>
      <c r="G9" s="401">
        <f>IF(F9=0,'Resid TSM UC'!G9+('Resid TSM UC'!F9-'Resid TSM UC'!I9+Inputs!$C$20),'Resid TSM UC'!G9)</f>
        <v>888.28562532861781</v>
      </c>
      <c r="H9" s="401">
        <f>'Resid TSM UC'!H9</f>
        <v>373.18</v>
      </c>
      <c r="I9" s="41">
        <f t="shared" si="1"/>
        <v>3007.3542833753131</v>
      </c>
      <c r="J9" s="556">
        <f>IF(IF('Resid TSM UC'!M9&gt;Inputs!$C$20,'Resid TSM UC'!J9-'Resid TSM UC'!M9+Inputs!$C$20,'Resid TSM UC'!J9)&lt;0,0,IF('Resid TSM UC'!M9&gt;Inputs!$C$20,'Resid TSM UC'!J9-'Resid TSM UC'!M9+Inputs!$C$20,'Resid TSM UC'!J9))</f>
        <v>1835.74023440419</v>
      </c>
      <c r="K9" s="401">
        <f>IF(J9=0,'Resid TSM UC'!K9+('Resid TSM UC'!J9-'Resid TSM UC'!M9+Inputs!$C$20),'Resid TSM UC'!K9)</f>
        <v>888.28562532861781</v>
      </c>
      <c r="L9" s="401">
        <f>'Resid TSM UC'!L9</f>
        <v>373.18</v>
      </c>
      <c r="M9" s="41">
        <f t="shared" si="2"/>
        <v>3097.2058597328078</v>
      </c>
      <c r="N9" s="556">
        <f>IF(IF('Resid TSM UC'!Q9&gt;Inputs!$C$20,'Resid TSM UC'!N9-'Resid TSM UC'!Q9+Inputs!$C$20,'Resid TSM UC'!N9)&lt;0,0,IF('Resid TSM UC'!Q9&gt;Inputs!$C$20,'Resid TSM UC'!N9-'Resid TSM UC'!Q9+Inputs!$C$20,'Resid TSM UC'!N9))</f>
        <v>1979.5343746713825</v>
      </c>
      <c r="O9" s="401">
        <f>IF(N9=0,'Resid TSM UC'!O9+('Resid TSM UC'!N9-'Resid TSM UC'!Q9+Inputs!$C$20),'Resid TSM UC'!O9)</f>
        <v>888.28562532861781</v>
      </c>
      <c r="P9" s="401">
        <f>'Resid TSM UC'!P9</f>
        <v>373.18</v>
      </c>
      <c r="Q9" s="41">
        <f t="shared" si="3"/>
        <v>3241</v>
      </c>
      <c r="R9" s="113"/>
      <c r="S9" s="401">
        <f>IF(R9=0,'Resid TSM UC'!S9+('Resid TSM UC'!R9-'Resid TSM UC'!U9+Inputs!$C$20),'Resid TSM UC'!S9)</f>
        <v>2227.96</v>
      </c>
      <c r="T9" s="401">
        <f>'Resid TSM UC'!T9</f>
        <v>1013.04</v>
      </c>
      <c r="U9" s="41">
        <f t="shared" si="4"/>
        <v>3241</v>
      </c>
    </row>
    <row r="10" spans="1:21" ht="13">
      <c r="A10" s="124" t="s">
        <v>105</v>
      </c>
      <c r="B10" s="556">
        <f>IF('Resid TSM UC'!E10&gt;Inputs!$C$20,'Resid TSM UC'!B10-'Resid TSM UC'!E10+Inputs!$C$20,'Resid TSM UC'!B10)</f>
        <v>1349.6507651389106</v>
      </c>
      <c r="C10" s="401">
        <f>'Resid TSM UC'!C10</f>
        <v>213.73179817905475</v>
      </c>
      <c r="D10" s="401">
        <f>'Resid TSM UC'!D10</f>
        <v>246.24333484162895</v>
      </c>
      <c r="E10" s="41">
        <f t="shared" si="0"/>
        <v>1809.6258981595943</v>
      </c>
      <c r="F10" s="556">
        <f>IF(IF('Resid TSM UC'!I10&gt;Inputs!$C$20,'Resid TSM UC'!F10-'Resid TSM UC'!I10+Inputs!$C$20,'Resid TSM UC'!F10)&lt;0,0,IF('Resid TSM UC'!I10&gt;Inputs!$C$20,'Resid TSM UC'!F10-'Resid TSM UC'!I10+Inputs!$C$20,'Resid TSM UC'!F10))</f>
        <v>1979.5343746713816</v>
      </c>
      <c r="G10" s="401">
        <f>IF(F10=0,'Resid TSM UC'!G10+('Resid TSM UC'!F10-'Resid TSM UC'!I10+Inputs!$C$20),'Resid TSM UC'!G10)</f>
        <v>888.28562532861781</v>
      </c>
      <c r="H10" s="401">
        <f>'Resid TSM UC'!H10</f>
        <v>373.18</v>
      </c>
      <c r="I10" s="41">
        <f t="shared" si="1"/>
        <v>3240.9999999999991</v>
      </c>
      <c r="J10" s="556">
        <f>IF(IF('Resid TSM UC'!M10&gt;Inputs!$C$20,'Resid TSM UC'!J10-'Resid TSM UC'!M10+Inputs!$C$20,'Resid TSM UC'!J10)&lt;0,0,IF('Resid TSM UC'!M10&gt;Inputs!$C$20,'Resid TSM UC'!J10-'Resid TSM UC'!M10+Inputs!$C$20,'Resid TSM UC'!J10))</f>
        <v>1979.5343746713816</v>
      </c>
      <c r="K10" s="401">
        <f>IF(J10=0,'Resid TSM UC'!K10+('Resid TSM UC'!J10-'Resid TSM UC'!M10+Inputs!$C$20),'Resid TSM UC'!K10)</f>
        <v>888.28562532861781</v>
      </c>
      <c r="L10" s="401">
        <f>'Resid TSM UC'!L10</f>
        <v>373.18</v>
      </c>
      <c r="M10" s="41">
        <f t="shared" si="2"/>
        <v>3240.9999999999991</v>
      </c>
      <c r="N10" s="556">
        <f>IF(IF('Resid TSM UC'!Q10&gt;Inputs!$C$20,'Resid TSM UC'!N10-'Resid TSM UC'!Q10+Inputs!$C$20,'Resid TSM UC'!N10)&lt;0,0,IF('Resid TSM UC'!Q10&gt;Inputs!$C$20,'Resid TSM UC'!N10-'Resid TSM UC'!Q10+Inputs!$C$20,'Resid TSM UC'!N10))</f>
        <v>1979.5343746713816</v>
      </c>
      <c r="O10" s="401">
        <f>IF(N10=0,'Resid TSM UC'!O10+('Resid TSM UC'!N10-'Resid TSM UC'!Q10+Inputs!$C$20),'Resid TSM UC'!O10)</f>
        <v>888.28562532861781</v>
      </c>
      <c r="P10" s="401">
        <f>'Resid TSM UC'!P10</f>
        <v>373.18</v>
      </c>
      <c r="Q10" s="41">
        <f t="shared" si="3"/>
        <v>3240.9999999999991</v>
      </c>
      <c r="R10" s="113"/>
      <c r="S10" s="401">
        <f>IF(R10=0,'Resid TSM UC'!S10+('Resid TSM UC'!R10-'Resid TSM UC'!U10+Inputs!$C$20),'Resid TSM UC'!S10)</f>
        <v>2227.96</v>
      </c>
      <c r="T10" s="401">
        <f>'Resid TSM UC'!T10</f>
        <v>1013.04</v>
      </c>
      <c r="U10" s="41">
        <f t="shared" si="4"/>
        <v>3241</v>
      </c>
    </row>
    <row r="11" spans="1:21" ht="13">
      <c r="A11" s="124" t="s">
        <v>97</v>
      </c>
      <c r="B11" s="556">
        <f>IF('Resid TSM UC'!E11&gt;Inputs!$C$20,'Resid TSM UC'!B11-'Resid TSM UC'!E11+Inputs!$C$20,'Resid TSM UC'!B11)</f>
        <v>1349.6507651389106</v>
      </c>
      <c r="C11" s="401">
        <f>'Resid TSM UC'!C11</f>
        <v>213.73179817905475</v>
      </c>
      <c r="D11" s="401">
        <f>'Resid TSM UC'!D11</f>
        <v>246.24333484162895</v>
      </c>
      <c r="E11" s="41">
        <f t="shared" si="0"/>
        <v>1809.6258981595943</v>
      </c>
      <c r="F11" s="556">
        <f>IF(IF('Resid TSM UC'!I11&gt;Inputs!$C$20,'Resid TSM UC'!F11-'Resid TSM UC'!I11+Inputs!$C$20,'Resid TSM UC'!F11)&lt;0,0,IF('Resid TSM UC'!I11&gt;Inputs!$C$20,'Resid TSM UC'!F11-'Resid TSM UC'!I11+Inputs!$C$20,'Resid TSM UC'!F11))</f>
        <v>1979.5343746713816</v>
      </c>
      <c r="G11" s="401">
        <f>IF(F11=0,'Resid TSM UC'!G11+('Resid TSM UC'!F11-'Resid TSM UC'!I11+Inputs!$C$20),'Resid TSM UC'!G11)</f>
        <v>888.28562532861781</v>
      </c>
      <c r="H11" s="401">
        <f>'Resid TSM UC'!H11</f>
        <v>373.18</v>
      </c>
      <c r="I11" s="41">
        <f t="shared" si="1"/>
        <v>3240.9999999999991</v>
      </c>
      <c r="J11" s="556">
        <f>IF(IF('Resid TSM UC'!M11&gt;Inputs!$C$20,'Resid TSM UC'!J11-'Resid TSM UC'!M11+Inputs!$C$20,'Resid TSM UC'!J11)&lt;0,0,IF('Resid TSM UC'!M11&gt;Inputs!$C$20,'Resid TSM UC'!J11-'Resid TSM UC'!M11+Inputs!$C$20,'Resid TSM UC'!J11))</f>
        <v>1979.5343746713816</v>
      </c>
      <c r="K11" s="401">
        <f>IF(J11=0,'Resid TSM UC'!K11+('Resid TSM UC'!J11-'Resid TSM UC'!M11+Inputs!$C$20),'Resid TSM UC'!K11)</f>
        <v>888.28562532861781</v>
      </c>
      <c r="L11" s="401">
        <f>'Resid TSM UC'!L11</f>
        <v>373.18</v>
      </c>
      <c r="M11" s="41">
        <f t="shared" si="2"/>
        <v>3240.9999999999991</v>
      </c>
      <c r="N11" s="556">
        <f>IF(IF('Resid TSM UC'!Q11&gt;Inputs!$C$20,'Resid TSM UC'!N11-'Resid TSM UC'!Q11+Inputs!$C$20,'Resid TSM UC'!N11)&lt;0,0,IF('Resid TSM UC'!Q11&gt;Inputs!$C$20,'Resid TSM UC'!N11-'Resid TSM UC'!Q11+Inputs!$C$20,'Resid TSM UC'!N11))</f>
        <v>1979.5343746713816</v>
      </c>
      <c r="O11" s="401">
        <f>IF(N11=0,'Resid TSM UC'!O11+('Resid TSM UC'!N11-'Resid TSM UC'!Q11+Inputs!$C$20),'Resid TSM UC'!O11)</f>
        <v>888.28562532861781</v>
      </c>
      <c r="P11" s="401">
        <f>'Resid TSM UC'!P11</f>
        <v>373.18</v>
      </c>
      <c r="Q11" s="41">
        <f t="shared" si="3"/>
        <v>3240.9999999999991</v>
      </c>
      <c r="R11" s="113"/>
      <c r="S11" s="401">
        <f>IF(R11=0,'Resid TSM UC'!S11+('Resid TSM UC'!R11-'Resid TSM UC'!U11+Inputs!$C$20),'Resid TSM UC'!S11)</f>
        <v>2227.96</v>
      </c>
      <c r="T11" s="401">
        <f>'Resid TSM UC'!T11</f>
        <v>1013.04</v>
      </c>
      <c r="U11" s="41">
        <f t="shared" si="4"/>
        <v>3241</v>
      </c>
    </row>
    <row r="12" spans="1:21" ht="13">
      <c r="A12" s="124" t="s">
        <v>8</v>
      </c>
      <c r="B12" s="556">
        <f>IF('Resid TSM UC'!E12&gt;Inputs!$C$20,'Resid TSM UC'!B12-'Resid TSM UC'!E12+Inputs!$C$20,'Resid TSM UC'!B12)</f>
        <v>1450.0172593464001</v>
      </c>
      <c r="C12" s="401">
        <f>'Resid TSM UC'!C12</f>
        <v>515.2781532122292</v>
      </c>
      <c r="D12" s="401">
        <f>'Resid TSM UC'!D12</f>
        <v>246.24333484162895</v>
      </c>
      <c r="E12" s="41">
        <f t="shared" si="0"/>
        <v>2211.5387474002582</v>
      </c>
      <c r="F12" s="556">
        <f>IF(IF('Resid TSM UC'!I12&gt;Inputs!$C$20,'Resid TSM UC'!F12-'Resid TSM UC'!I12+Inputs!$C$20,'Resid TSM UC'!F12)&lt;0,0,IF('Resid TSM UC'!I12&gt;Inputs!$C$20,'Resid TSM UC'!F12-'Resid TSM UC'!I12+Inputs!$C$20,'Resid TSM UC'!F12))</f>
        <v>1711.248584020168</v>
      </c>
      <c r="G12" s="401">
        <f>IF(F12=0,'Resid TSM UC'!G12+('Resid TSM UC'!F12-'Resid TSM UC'!I12+Inputs!$C$20),'Resid TSM UC'!G12)</f>
        <v>1156.5714159798322</v>
      </c>
      <c r="H12" s="401">
        <f>'Resid TSM UC'!H12</f>
        <v>373.18</v>
      </c>
      <c r="I12" s="41">
        <f t="shared" si="1"/>
        <v>3241</v>
      </c>
      <c r="J12" s="556">
        <f>IF(IF('Resid TSM UC'!M12&gt;Inputs!$C$20,'Resid TSM UC'!J12-'Resid TSM UC'!M12+Inputs!$C$20,'Resid TSM UC'!J12)&lt;0,0,IF('Resid TSM UC'!M12&gt;Inputs!$C$20,'Resid TSM UC'!J12-'Resid TSM UC'!M12+Inputs!$C$20,'Resid TSM UC'!J12))</f>
        <v>1711.248584020168</v>
      </c>
      <c r="K12" s="401">
        <f>IF(J12=0,'Resid TSM UC'!K12+('Resid TSM UC'!J12-'Resid TSM UC'!M12+Inputs!$C$20),'Resid TSM UC'!K12)</f>
        <v>1156.5714159798322</v>
      </c>
      <c r="L12" s="401">
        <f>'Resid TSM UC'!L12</f>
        <v>373.18</v>
      </c>
      <c r="M12" s="41">
        <f t="shared" si="2"/>
        <v>3241</v>
      </c>
      <c r="N12" s="556">
        <f>IF(IF('Resid TSM UC'!Q12&gt;Inputs!$C$20,'Resid TSM UC'!N12-'Resid TSM UC'!Q12+Inputs!$C$20,'Resid TSM UC'!N12)&lt;0,0,IF('Resid TSM UC'!Q12&gt;Inputs!$C$20,'Resid TSM UC'!N12-'Resid TSM UC'!Q12+Inputs!$C$20,'Resid TSM UC'!N12))</f>
        <v>1711.248584020168</v>
      </c>
      <c r="O12" s="401">
        <f>IF(N12=0,'Resid TSM UC'!O12+('Resid TSM UC'!N12-'Resid TSM UC'!Q12+Inputs!$C$20),'Resid TSM UC'!O12)</f>
        <v>1156.5714159798322</v>
      </c>
      <c r="P12" s="401">
        <f>'Resid TSM UC'!P12</f>
        <v>373.18</v>
      </c>
      <c r="Q12" s="41">
        <f t="shared" si="3"/>
        <v>3241</v>
      </c>
      <c r="R12" s="113"/>
      <c r="S12" s="401">
        <f>IF(R12=0,'Resid TSM UC'!S12+('Resid TSM UC'!R12-'Resid TSM UC'!U12+Inputs!$C$20),'Resid TSM UC'!S12)</f>
        <v>2227.96</v>
      </c>
      <c r="T12" s="401">
        <f>'Resid TSM UC'!T12</f>
        <v>1013.04</v>
      </c>
      <c r="U12" s="41">
        <f t="shared" si="4"/>
        <v>3241</v>
      </c>
    </row>
    <row r="13" spans="1:21" ht="13">
      <c r="A13" s="124" t="s">
        <v>9</v>
      </c>
      <c r="B13" s="556">
        <f>IF('Resid TSM UC'!E13&gt;Inputs!$C$20,'Resid TSM UC'!B13-'Resid TSM UC'!E13+Inputs!$C$20,'Resid TSM UC'!B13)</f>
        <v>2164.5829799699918</v>
      </c>
      <c r="C13" s="401">
        <f>'Resid TSM UC'!C13</f>
        <v>830.17368518837884</v>
      </c>
      <c r="D13" s="401">
        <f>'Resid TSM UC'!D13</f>
        <v>246.24333484162895</v>
      </c>
      <c r="E13" s="41">
        <f t="shared" si="0"/>
        <v>3240.9999999999995</v>
      </c>
      <c r="F13" s="556">
        <f>IF(IF('Resid TSM UC'!I13&gt;Inputs!$C$20,'Resid TSM UC'!F13-'Resid TSM UC'!I13+Inputs!$C$20,'Resid TSM UC'!F13)&lt;0,0,IF('Resid TSM UC'!I13&gt;Inputs!$C$20,'Resid TSM UC'!F13-'Resid TSM UC'!I13+Inputs!$C$20,'Resid TSM UC'!F13))</f>
        <v>1086.3440211748748</v>
      </c>
      <c r="G13" s="401">
        <f>IF(F13=0,'Resid TSM UC'!G13+('Resid TSM UC'!F13-'Resid TSM UC'!I13+Inputs!$C$20),'Resid TSM UC'!G13)</f>
        <v>1781.4759788251249</v>
      </c>
      <c r="H13" s="401">
        <f>'Resid TSM UC'!H13</f>
        <v>373.18</v>
      </c>
      <c r="I13" s="41">
        <f t="shared" si="1"/>
        <v>3240.9999999999995</v>
      </c>
      <c r="J13" s="556">
        <f>IF(IF('Resid TSM UC'!M13&gt;Inputs!$C$20,'Resid TSM UC'!J13-'Resid TSM UC'!M13+Inputs!$C$20,'Resid TSM UC'!J13)&lt;0,0,IF('Resid TSM UC'!M13&gt;Inputs!$C$20,'Resid TSM UC'!J13-'Resid TSM UC'!M13+Inputs!$C$20,'Resid TSM UC'!J13))</f>
        <v>1086.3440211748748</v>
      </c>
      <c r="K13" s="401">
        <f>IF(J13=0,'Resid TSM UC'!K13+('Resid TSM UC'!J13-'Resid TSM UC'!M13+Inputs!$C$20),'Resid TSM UC'!K13)</f>
        <v>1781.4759788251249</v>
      </c>
      <c r="L13" s="401">
        <f>'Resid TSM UC'!L13</f>
        <v>373.18</v>
      </c>
      <c r="M13" s="41">
        <f t="shared" si="2"/>
        <v>3240.9999999999995</v>
      </c>
      <c r="N13" s="556">
        <f>IF(IF('Resid TSM UC'!Q13&gt;Inputs!$C$20,'Resid TSM UC'!N13-'Resid TSM UC'!Q13+Inputs!$C$20,'Resid TSM UC'!N13)&lt;0,0,IF('Resid TSM UC'!Q13&gt;Inputs!$C$20,'Resid TSM UC'!N13-'Resid TSM UC'!Q13+Inputs!$C$20,'Resid TSM UC'!N13))</f>
        <v>1711.248584020168</v>
      </c>
      <c r="O13" s="401">
        <f>IF(N13=0,'Resid TSM UC'!O13+('Resid TSM UC'!N13-'Resid TSM UC'!Q13+Inputs!$C$20),'Resid TSM UC'!O13)</f>
        <v>1156.5714159798322</v>
      </c>
      <c r="P13" s="401">
        <f>'Resid TSM UC'!P13</f>
        <v>373.18</v>
      </c>
      <c r="Q13" s="41">
        <f t="shared" si="3"/>
        <v>3241</v>
      </c>
      <c r="R13" s="113"/>
      <c r="S13" s="401">
        <f>IF(R13=0,'Resid TSM UC'!S13+('Resid TSM UC'!R13-'Resid TSM UC'!U13+Inputs!$C$20),'Resid TSM UC'!S13)</f>
        <v>2227.96</v>
      </c>
      <c r="T13" s="401">
        <f>'Resid TSM UC'!T13</f>
        <v>1013.04</v>
      </c>
      <c r="U13" s="41">
        <f t="shared" si="4"/>
        <v>3241</v>
      </c>
    </row>
    <row r="14" spans="1:21" ht="13">
      <c r="A14" s="124" t="s">
        <v>10</v>
      </c>
      <c r="B14" s="556">
        <f>IF('Resid TSM UC'!E14&gt;Inputs!$C$20,'Resid TSM UC'!B14-'Resid TSM UC'!E14+Inputs!$C$20,'Resid TSM UC'!B14)</f>
        <v>1416.3130447816138</v>
      </c>
      <c r="C14" s="401">
        <f>'Resid TSM UC'!C14</f>
        <v>1578.4436203767575</v>
      </c>
      <c r="D14" s="401">
        <f>'Resid TSM UC'!D14</f>
        <v>246.24333484162895</v>
      </c>
      <c r="E14" s="41">
        <f t="shared" si="0"/>
        <v>3241</v>
      </c>
      <c r="F14" s="556">
        <f>IF(IF('Resid TSM UC'!I14&gt;Inputs!$C$20,'Resid TSM UC'!F14-'Resid TSM UC'!I14+Inputs!$C$20,'Resid TSM UC'!F14)&lt;0,0,IF('Resid TSM UC'!I14&gt;Inputs!$C$20,'Resid TSM UC'!F14-'Resid TSM UC'!I14+Inputs!$C$20,'Resid TSM UC'!F14))</f>
        <v>1086.3440211748748</v>
      </c>
      <c r="G14" s="401">
        <f>IF(F14=0,'Resid TSM UC'!G14+('Resid TSM UC'!F14-'Resid TSM UC'!I14+Inputs!$C$20),'Resid TSM UC'!G14)</f>
        <v>1781.4759788251249</v>
      </c>
      <c r="H14" s="401">
        <f>'Resid TSM UC'!H14</f>
        <v>373.18</v>
      </c>
      <c r="I14" s="41">
        <f t="shared" si="1"/>
        <v>3240.9999999999995</v>
      </c>
      <c r="J14" s="556">
        <f>IF(IF('Resid TSM UC'!M14&gt;Inputs!$C$20,'Resid TSM UC'!J14-'Resid TSM UC'!M14+Inputs!$C$20,'Resid TSM UC'!J14)&lt;0,0,IF('Resid TSM UC'!M14&gt;Inputs!$C$20,'Resid TSM UC'!J14-'Resid TSM UC'!M14+Inputs!$C$20,'Resid TSM UC'!J14))</f>
        <v>1086.3440211748748</v>
      </c>
      <c r="K14" s="401">
        <f>IF(J14=0,'Resid TSM UC'!K14+('Resid TSM UC'!J14-'Resid TSM UC'!M14+Inputs!$C$20),'Resid TSM UC'!K14)</f>
        <v>1781.4759788251249</v>
      </c>
      <c r="L14" s="401">
        <f>'Resid TSM UC'!L14</f>
        <v>373.18</v>
      </c>
      <c r="M14" s="41">
        <f t="shared" si="2"/>
        <v>3240.9999999999995</v>
      </c>
      <c r="N14" s="556">
        <f>IF(IF('Resid TSM UC'!Q14&gt;Inputs!$C$20,'Resid TSM UC'!N14-'Resid TSM UC'!Q14+Inputs!$C$20,'Resid TSM UC'!N14)&lt;0,0,IF('Resid TSM UC'!Q14&gt;Inputs!$C$20,'Resid TSM UC'!N14-'Resid TSM UC'!Q14+Inputs!$C$20,'Resid TSM UC'!N14))</f>
        <v>1086.3440211748748</v>
      </c>
      <c r="O14" s="401">
        <f>IF(N14=0,'Resid TSM UC'!O14+('Resid TSM UC'!N14-'Resid TSM UC'!Q14+Inputs!$C$20),'Resid TSM UC'!O14)</f>
        <v>1781.4759788251249</v>
      </c>
      <c r="P14" s="401">
        <f>'Resid TSM UC'!P14</f>
        <v>373.18</v>
      </c>
      <c r="Q14" s="41">
        <f t="shared" si="3"/>
        <v>3240.9999999999995</v>
      </c>
      <c r="R14" s="113"/>
      <c r="S14" s="401">
        <f>IF(R14=0,'Resid TSM UC'!S14+('Resid TSM UC'!R14-'Resid TSM UC'!U14+Inputs!$C$20),'Resid TSM UC'!S14)</f>
        <v>2227.96</v>
      </c>
      <c r="T14" s="401">
        <f>'Resid TSM UC'!T14</f>
        <v>1013.04</v>
      </c>
      <c r="U14" s="41">
        <f t="shared" si="4"/>
        <v>3241</v>
      </c>
    </row>
    <row r="15" spans="1:21" ht="13">
      <c r="A15" s="124" t="s">
        <v>11</v>
      </c>
      <c r="B15" s="556">
        <f>IF('Resid TSM UC'!E15&gt;Inputs!$C$20,'Resid TSM UC'!B15-'Resid TSM UC'!E15+Inputs!$C$20,'Resid TSM UC'!B15)</f>
        <v>668.04310959323448</v>
      </c>
      <c r="C15" s="401">
        <f>'Resid TSM UC'!C15</f>
        <v>2326.7135555651362</v>
      </c>
      <c r="D15" s="401">
        <f>'Resid TSM UC'!D15</f>
        <v>246.24333484162895</v>
      </c>
      <c r="E15" s="41">
        <f t="shared" si="0"/>
        <v>3240.9999999999995</v>
      </c>
      <c r="F15" s="556"/>
      <c r="G15" s="401">
        <f>IF(F15=0,'Resid TSM UC'!G15+('Resid TSM UC'!F15-'Resid TSM UC'!I15+Inputs!$C$20),'Resid TSM UC'!G15)</f>
        <v>2867.8199999999997</v>
      </c>
      <c r="H15" s="401">
        <f>'Resid TSM UC'!H15</f>
        <v>373.18</v>
      </c>
      <c r="I15" s="41">
        <f t="shared" si="1"/>
        <v>3240.9999999999995</v>
      </c>
      <c r="J15" s="556"/>
      <c r="K15" s="401">
        <f>IF(J15=0,'Resid TSM UC'!K15+('Resid TSM UC'!J15-'Resid TSM UC'!M15+Inputs!$C$20),'Resid TSM UC'!K15)</f>
        <v>2867.8199999999997</v>
      </c>
      <c r="L15" s="401">
        <f>'Resid TSM UC'!L15</f>
        <v>373.18</v>
      </c>
      <c r="M15" s="41">
        <f t="shared" si="2"/>
        <v>3240.9999999999995</v>
      </c>
      <c r="N15" s="556">
        <f>IF(IF('Resid TSM UC'!Q15&gt;Inputs!$C$20,'Resid TSM UC'!N15-'Resid TSM UC'!Q15+Inputs!$C$20,'Resid TSM UC'!N15)&lt;0,0,IF('Resid TSM UC'!Q15&gt;Inputs!$C$20,'Resid TSM UC'!N15-'Resid TSM UC'!Q15+Inputs!$C$20,'Resid TSM UC'!N15))</f>
        <v>1086.3440211748748</v>
      </c>
      <c r="O15" s="401">
        <f>IF(N15=0,'Resid TSM UC'!O15+('Resid TSM UC'!N15-'Resid TSM UC'!Q15+Inputs!$C$20),'Resid TSM UC'!O15)</f>
        <v>1781.4759788251249</v>
      </c>
      <c r="P15" s="401">
        <f>'Resid TSM UC'!P15</f>
        <v>373.18</v>
      </c>
      <c r="Q15" s="41">
        <f t="shared" si="3"/>
        <v>3240.9999999999995</v>
      </c>
      <c r="R15" s="113"/>
      <c r="S15" s="401">
        <f>IF(R15=0,'Resid TSM UC'!S15+('Resid TSM UC'!R15-'Resid TSM UC'!U15+Inputs!$C$20),'Resid TSM UC'!S15)</f>
        <v>2227.96</v>
      </c>
      <c r="T15" s="401">
        <f>'Resid TSM UC'!T15</f>
        <v>1013.04</v>
      </c>
      <c r="U15" s="41">
        <f t="shared" si="4"/>
        <v>3241</v>
      </c>
    </row>
    <row r="16" spans="1:21" ht="13">
      <c r="A16" s="124" t="s">
        <v>101</v>
      </c>
      <c r="B16" s="556">
        <f>IF('Resid TSM UC'!E16&gt;Inputs!$C$20,'Resid TSM UC'!B16-'Resid TSM UC'!E16+Inputs!$C$20,'Resid TSM UC'!B16)</f>
        <v>668.04310959323448</v>
      </c>
      <c r="C16" s="401">
        <f>'Resid TSM UC'!C16</f>
        <v>2326.7135555651362</v>
      </c>
      <c r="D16" s="401">
        <f>'Resid TSM UC'!D16</f>
        <v>246.24333484162895</v>
      </c>
      <c r="E16" s="41">
        <f t="shared" si="0"/>
        <v>3240.9999999999995</v>
      </c>
      <c r="F16" s="556"/>
      <c r="G16" s="401">
        <f>IF(F16=0,'Resid TSM UC'!G16+('Resid TSM UC'!F16-'Resid TSM UC'!I16+Inputs!$C$20),'Resid TSM UC'!G16)</f>
        <v>2867.8200000000006</v>
      </c>
      <c r="H16" s="401">
        <f>'Resid TSM UC'!H16</f>
        <v>373.18</v>
      </c>
      <c r="I16" s="41">
        <f t="shared" si="1"/>
        <v>3241.0000000000005</v>
      </c>
      <c r="J16" s="556"/>
      <c r="K16" s="401">
        <f>IF(J16=0,'Resid TSM UC'!K16+('Resid TSM UC'!J16-'Resid TSM UC'!M16+Inputs!$C$20),'Resid TSM UC'!K16)</f>
        <v>2867.8199999999988</v>
      </c>
      <c r="L16" s="401">
        <f>'Resid TSM UC'!L16</f>
        <v>373.18</v>
      </c>
      <c r="M16" s="41">
        <f t="shared" si="2"/>
        <v>3240.9999999999986</v>
      </c>
      <c r="N16" s="556">
        <f>IF(IF('Resid TSM UC'!Q16&gt;Inputs!$C$20,'Resid TSM UC'!N16-'Resid TSM UC'!Q16+Inputs!$C$20,'Resid TSM UC'!N16)&lt;0,0,IF('Resid TSM UC'!Q16&gt;Inputs!$C$20,'Resid TSM UC'!N16-'Resid TSM UC'!Q16+Inputs!$C$20,'Resid TSM UC'!N16))</f>
        <v>467.83851906877499</v>
      </c>
      <c r="O16" s="401">
        <f>IF(N16=0,'Resid TSM UC'!O16+('Resid TSM UC'!N16-'Resid TSM UC'!Q16+Inputs!$C$20),'Resid TSM UC'!O16)</f>
        <v>2399.9814809312252</v>
      </c>
      <c r="P16" s="401">
        <f>'Resid TSM UC'!P16</f>
        <v>373.18</v>
      </c>
      <c r="Q16" s="41">
        <f t="shared" si="3"/>
        <v>3241</v>
      </c>
      <c r="R16" s="113"/>
      <c r="S16" s="401">
        <f>IF(R16=0,'Resid TSM UC'!S16+('Resid TSM UC'!R16-'Resid TSM UC'!U16+Inputs!$C$20),'Resid TSM UC'!S16)</f>
        <v>2227.96</v>
      </c>
      <c r="T16" s="401">
        <f>'Resid TSM UC'!T16</f>
        <v>1013.04</v>
      </c>
      <c r="U16" s="41">
        <f t="shared" si="4"/>
        <v>3241</v>
      </c>
    </row>
    <row r="17" spans="1:21" ht="13">
      <c r="A17" s="124" t="s">
        <v>102</v>
      </c>
      <c r="B17" s="113"/>
      <c r="C17" s="98"/>
      <c r="D17" s="98"/>
      <c r="E17" s="41"/>
      <c r="F17" s="556"/>
      <c r="G17" s="401">
        <f>IF(F17=0,'Resid TSM UC'!G17+('Resid TSM UC'!F17-'Resid TSM UC'!I17+Inputs!$C$20),'Resid TSM UC'!G17)</f>
        <v>2867.8200000000006</v>
      </c>
      <c r="H17" s="401">
        <f>'Resid TSM UC'!H17</f>
        <v>373.18</v>
      </c>
      <c r="I17" s="41">
        <f t="shared" si="1"/>
        <v>3241.0000000000005</v>
      </c>
      <c r="J17" s="556"/>
      <c r="K17" s="401">
        <f>IF(J17=0,'Resid TSM UC'!K17+('Resid TSM UC'!J17-'Resid TSM UC'!M17+Inputs!$C$20),'Resid TSM UC'!K17)</f>
        <v>2867.8199999999988</v>
      </c>
      <c r="L17" s="401">
        <f>'Resid TSM UC'!L17</f>
        <v>373.18</v>
      </c>
      <c r="M17" s="41">
        <f t="shared" si="2"/>
        <v>3240.9999999999986</v>
      </c>
      <c r="N17" s="556">
        <f>IF(IF('Resid TSM UC'!Q17&gt;Inputs!$C$20,'Resid TSM UC'!N17-'Resid TSM UC'!Q17+Inputs!$C$20,'Resid TSM UC'!N17)&lt;0,0,IF('Resid TSM UC'!Q17&gt;Inputs!$C$20,'Resid TSM UC'!N17-'Resid TSM UC'!Q17+Inputs!$C$20,'Resid TSM UC'!N17))</f>
        <v>467.83851906877499</v>
      </c>
      <c r="O17" s="401">
        <f>IF(N17=0,'Resid TSM UC'!O17+('Resid TSM UC'!N17-'Resid TSM UC'!Q17+Inputs!$C$20),'Resid TSM UC'!O17)</f>
        <v>2399.9814809312252</v>
      </c>
      <c r="P17" s="401">
        <f>'Resid TSM UC'!P17</f>
        <v>373.18</v>
      </c>
      <c r="Q17" s="41">
        <f t="shared" si="3"/>
        <v>3241</v>
      </c>
      <c r="R17" s="113"/>
      <c r="S17" s="401">
        <f>IF(R17=0,'Resid TSM UC'!S17+('Resid TSM UC'!R17-'Resid TSM UC'!U17+Inputs!$C$20),'Resid TSM UC'!S17)</f>
        <v>2227.96</v>
      </c>
      <c r="T17" s="401">
        <f>'Resid TSM UC'!T17</f>
        <v>1013.04</v>
      </c>
      <c r="U17" s="41">
        <f t="shared" si="4"/>
        <v>3241</v>
      </c>
    </row>
    <row r="18" spans="1:21" ht="13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556"/>
      <c r="K18" s="401">
        <f>IF(J18=0,'Resid TSM UC'!K18+('Resid TSM UC'!J18-'Resid TSM UC'!M18+Inputs!$C$20),'Resid TSM UC'!K18)</f>
        <v>2867.8199999999979</v>
      </c>
      <c r="L18" s="401">
        <f>'Resid TSM UC'!L18</f>
        <v>373.18</v>
      </c>
      <c r="M18" s="41">
        <f t="shared" si="2"/>
        <v>3240.9999999999977</v>
      </c>
      <c r="N18" s="556"/>
      <c r="O18" s="401">
        <f>IF(N18=0,'Resid TSM UC'!O18+('Resid TSM UC'!N18-'Resid TSM UC'!Q18+Inputs!$C$20),'Resid TSM UC'!O18)</f>
        <v>2867.8200000000006</v>
      </c>
      <c r="P18" s="401">
        <f>'Resid TSM UC'!P18</f>
        <v>373.18</v>
      </c>
      <c r="Q18" s="41">
        <f t="shared" si="3"/>
        <v>3241.0000000000005</v>
      </c>
      <c r="R18" s="113"/>
      <c r="S18" s="401">
        <f>IF(R18=0,'Resid TSM UC'!S18+('Resid TSM UC'!R18-'Resid TSM UC'!U18+Inputs!$C$20),'Resid TSM UC'!S18)</f>
        <v>2227.96</v>
      </c>
      <c r="T18" s="401">
        <f>'Resid TSM UC'!T18</f>
        <v>1013.04</v>
      </c>
      <c r="U18" s="41">
        <f t="shared" si="4"/>
        <v>3241</v>
      </c>
    </row>
    <row r="19" spans="1:21" ht="13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556"/>
      <c r="K19" s="401">
        <f>IF(J19=0,'Resid TSM UC'!K19+('Resid TSM UC'!J19-'Resid TSM UC'!M19+Inputs!$C$20),'Resid TSM UC'!K19)</f>
        <v>2867.8199999999997</v>
      </c>
      <c r="L19" s="401">
        <f>'Resid TSM UC'!L19</f>
        <v>373.18</v>
      </c>
      <c r="M19" s="41">
        <f t="shared" si="2"/>
        <v>3240.9999999999995</v>
      </c>
      <c r="N19" s="556"/>
      <c r="O19" s="401">
        <f>IF(N19=0,'Resid TSM UC'!O19+('Resid TSM UC'!N19-'Resid TSM UC'!Q19+Inputs!$C$20),'Resid TSM UC'!O19)</f>
        <v>2867.8200000000006</v>
      </c>
      <c r="P19" s="401">
        <f>'Resid TSM UC'!P19</f>
        <v>373.18</v>
      </c>
      <c r="Q19" s="41">
        <f t="shared" si="3"/>
        <v>3241.0000000000005</v>
      </c>
      <c r="R19" s="113"/>
      <c r="S19" s="401">
        <f>IF(R19=0,'Resid TSM UC'!S19+('Resid TSM UC'!R19-'Resid TSM UC'!U19+Inputs!$C$20),'Resid TSM UC'!S19)</f>
        <v>2227.96</v>
      </c>
      <c r="T19" s="401">
        <f>'Resid TSM UC'!T19</f>
        <v>1013.04</v>
      </c>
      <c r="U19" s="41">
        <f t="shared" si="4"/>
        <v>3241</v>
      </c>
    </row>
    <row r="20" spans="1:21" ht="13">
      <c r="A20" s="124" t="s">
        <v>103</v>
      </c>
      <c r="B20" s="113"/>
      <c r="C20" s="98"/>
      <c r="D20" s="332"/>
      <c r="E20" s="41"/>
      <c r="F20" s="113"/>
      <c r="G20" s="98"/>
      <c r="H20" s="98"/>
      <c r="I20" s="41"/>
      <c r="J20" s="556"/>
      <c r="K20" s="401">
        <f>IF(J20=0,'Resid TSM UC'!K20+('Resid TSM UC'!J20-'Resid TSM UC'!M20+Inputs!$C$20),'Resid TSM UC'!K20)</f>
        <v>2867.8200000000033</v>
      </c>
      <c r="L20" s="401">
        <f>'Resid TSM UC'!L20</f>
        <v>373.18</v>
      </c>
      <c r="M20" s="41">
        <f t="shared" si="2"/>
        <v>3241.0000000000032</v>
      </c>
      <c r="N20" s="556"/>
      <c r="O20" s="401">
        <f>IF(N20=0,'Resid TSM UC'!O20+('Resid TSM UC'!N20-'Resid TSM UC'!Q20+Inputs!$C$20),'Resid TSM UC'!O20)</f>
        <v>2867.8200000000006</v>
      </c>
      <c r="P20" s="401">
        <f>'Resid TSM UC'!P20</f>
        <v>373.18</v>
      </c>
      <c r="Q20" s="41">
        <f>SUM(N20:P20)</f>
        <v>3241.0000000000005</v>
      </c>
      <c r="R20" s="113"/>
      <c r="S20" s="401">
        <f>IF(R20=0,'Resid TSM UC'!S20+('Resid TSM UC'!R20-'Resid TSM UC'!U20+Inputs!$C$20),'Resid TSM UC'!S20)</f>
        <v>2227.96</v>
      </c>
      <c r="T20" s="401">
        <f>'Resid TSM UC'!T20</f>
        <v>1013.04</v>
      </c>
      <c r="U20" s="41">
        <f>SUM(R20:T20)</f>
        <v>3241</v>
      </c>
    </row>
    <row r="21" spans="1:21" ht="13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556"/>
      <c r="K21" s="401">
        <f>IF(J21=0,'Resid TSM UC'!K21+('Resid TSM UC'!J21-'Resid TSM UC'!M21+Inputs!$C$20),'Resid TSM UC'!K21)</f>
        <v>2867.8200000000033</v>
      </c>
      <c r="L21" s="401">
        <f>'Resid TSM UC'!L21</f>
        <v>373.18</v>
      </c>
      <c r="M21" s="41">
        <f t="shared" si="2"/>
        <v>3241.0000000000032</v>
      </c>
      <c r="N21" s="556"/>
      <c r="O21" s="401">
        <f>IF(N21=0,'Resid TSM UC'!O21+('Resid TSM UC'!N21-'Resid TSM UC'!Q21+Inputs!$C$20),'Resid TSM UC'!O21)</f>
        <v>2867.8200000000006</v>
      </c>
      <c r="P21" s="401">
        <f>'Resid TSM UC'!P21</f>
        <v>373.18</v>
      </c>
      <c r="Q21" s="41">
        <f t="shared" si="3"/>
        <v>3241.0000000000005</v>
      </c>
      <c r="R21" s="113"/>
      <c r="S21" s="401">
        <f>IF(R21=0,'Resid TSM UC'!S21+('Resid TSM UC'!R21-'Resid TSM UC'!U21+Inputs!$C$20),'Resid TSM UC'!S21)</f>
        <v>2227.96</v>
      </c>
      <c r="T21" s="401">
        <f>'Resid TSM UC'!T21</f>
        <v>1013.04</v>
      </c>
      <c r="U21" s="41">
        <f t="shared" ref="U21:U29" si="5">SUM(R21:T21)</f>
        <v>3241</v>
      </c>
    </row>
    <row r="22" spans="1:21" ht="13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556"/>
      <c r="K22" s="401">
        <f>IF(J22=0,'Resid TSM UC'!K22+('Resid TSM UC'!J22-'Resid TSM UC'!M22+Inputs!$C$20),'Resid TSM UC'!K22)</f>
        <v>2867.8199999999997</v>
      </c>
      <c r="L22" s="401">
        <f>'Resid TSM UC'!L22</f>
        <v>373.18</v>
      </c>
      <c r="M22" s="41">
        <f t="shared" si="2"/>
        <v>3240.9999999999995</v>
      </c>
      <c r="N22" s="556"/>
      <c r="O22" s="401">
        <f>IF(N22=0,'Resid TSM UC'!O22+('Resid TSM UC'!N22-'Resid TSM UC'!Q22+Inputs!$C$20),'Resid TSM UC'!O22)</f>
        <v>2867.8199999999979</v>
      </c>
      <c r="P22" s="401">
        <f>'Resid TSM UC'!P22</f>
        <v>373.18</v>
      </c>
      <c r="Q22" s="41">
        <f t="shared" si="3"/>
        <v>3240.9999999999977</v>
      </c>
      <c r="R22" s="113"/>
      <c r="S22" s="401">
        <f>IF(R22=0,'Resid TSM UC'!S22+('Resid TSM UC'!R22-'Resid TSM UC'!U22+Inputs!$C$20),'Resid TSM UC'!S22)</f>
        <v>2227.96</v>
      </c>
      <c r="T22" s="401">
        <f>'Resid TSM UC'!T22</f>
        <v>1013.04</v>
      </c>
      <c r="U22" s="41">
        <f t="shared" si="5"/>
        <v>3241</v>
      </c>
    </row>
    <row r="23" spans="1:21" ht="13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556"/>
      <c r="K23" s="401">
        <f>IF(J23=0,'Resid TSM UC'!K23+('Resid TSM UC'!J23-'Resid TSM UC'!M23+Inputs!$C$20),'Resid TSM UC'!K23)</f>
        <v>2867.8199999999997</v>
      </c>
      <c r="L23" s="401">
        <f>'Resid TSM UC'!L23</f>
        <v>373.18</v>
      </c>
      <c r="M23" s="41">
        <f t="shared" si="2"/>
        <v>3240.9999999999995</v>
      </c>
      <c r="N23" s="556"/>
      <c r="O23" s="401">
        <f>IF(N23=0,'Resid TSM UC'!O23+('Resid TSM UC'!N23-'Resid TSM UC'!Q23+Inputs!$C$20),'Resid TSM UC'!O23)</f>
        <v>2867.8199999999979</v>
      </c>
      <c r="P23" s="401">
        <f>'Resid TSM UC'!P23</f>
        <v>373.18</v>
      </c>
      <c r="Q23" s="41">
        <f t="shared" si="3"/>
        <v>3240.9999999999977</v>
      </c>
      <c r="R23" s="113"/>
      <c r="S23" s="401">
        <f>IF(R23=0,'Resid TSM UC'!S23+('Resid TSM UC'!R23-'Resid TSM UC'!U23+Inputs!$C$20),'Resid TSM UC'!S23)</f>
        <v>2227.96</v>
      </c>
      <c r="T23" s="401">
        <f>'Resid TSM UC'!T23</f>
        <v>1013.04</v>
      </c>
      <c r="U23" s="41">
        <f t="shared" si="5"/>
        <v>3241</v>
      </c>
    </row>
    <row r="24" spans="1:21" ht="13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556"/>
      <c r="K24" s="401">
        <f>IF(J24=0,'Resid TSM UC'!K24+('Resid TSM UC'!J24-'Resid TSM UC'!M24+Inputs!$C$20),'Resid TSM UC'!K24)</f>
        <v>2867.8200000000143</v>
      </c>
      <c r="L24" s="401">
        <f>'Resid TSM UC'!L24</f>
        <v>373.18</v>
      </c>
      <c r="M24" s="41">
        <f>SUM(J24:L24)</f>
        <v>3241.0000000000141</v>
      </c>
      <c r="N24" s="556"/>
      <c r="O24" s="401">
        <f>IF(N24=0,'Resid TSM UC'!O24+('Resid TSM UC'!N24-'Resid TSM UC'!Q24+Inputs!$C$20),'Resid TSM UC'!O24)</f>
        <v>2867.8200000000015</v>
      </c>
      <c r="P24" s="401">
        <f>'Resid TSM UC'!P24</f>
        <v>373.18</v>
      </c>
      <c r="Q24" s="41">
        <f t="shared" si="3"/>
        <v>3241.0000000000014</v>
      </c>
      <c r="R24" s="113"/>
      <c r="S24" s="401">
        <f>IF(R24=0,'Resid TSM UC'!S24+('Resid TSM UC'!R24-'Resid TSM UC'!U24+Inputs!$C$20),'Resid TSM UC'!S24)</f>
        <v>2227.96</v>
      </c>
      <c r="T24" s="401">
        <f>'Resid TSM UC'!T24</f>
        <v>1013.04</v>
      </c>
      <c r="U24" s="41">
        <f t="shared" si="5"/>
        <v>3241</v>
      </c>
    </row>
    <row r="25" spans="1:21" ht="13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556"/>
      <c r="K25" s="401">
        <f>IF(J25=0,'Resid TSM UC'!K25+('Resid TSM UC'!J25-'Resid TSM UC'!M25+Inputs!$C$20),'Resid TSM UC'!K25)</f>
        <v>2867.820000000007</v>
      </c>
      <c r="L25" s="401">
        <f>'Resid TSM UC'!L25</f>
        <v>373.18</v>
      </c>
      <c r="M25" s="41">
        <f>SUM(J25:L25)</f>
        <v>3241.0000000000068</v>
      </c>
      <c r="N25" s="556"/>
      <c r="O25" s="401">
        <f>IF(N25=0,'Resid TSM UC'!O25+('Resid TSM UC'!N25-'Resid TSM UC'!Q25+Inputs!$C$20),'Resid TSM UC'!O25)</f>
        <v>2867.8199999999997</v>
      </c>
      <c r="P25" s="401">
        <f>'Resid TSM UC'!P25</f>
        <v>373.18</v>
      </c>
      <c r="Q25" s="41">
        <f t="shared" si="3"/>
        <v>3240.9999999999995</v>
      </c>
      <c r="R25" s="113"/>
      <c r="S25" s="401">
        <f>IF(R25=0,'Resid TSM UC'!S25+('Resid TSM UC'!R25-'Resid TSM UC'!U25+Inputs!$C$20),'Resid TSM UC'!S25)</f>
        <v>2227.96</v>
      </c>
      <c r="T25" s="401">
        <f>'Resid TSM UC'!T25</f>
        <v>1013.04</v>
      </c>
      <c r="U25" s="41">
        <f t="shared" si="5"/>
        <v>3241</v>
      </c>
    </row>
    <row r="26" spans="1:21" ht="13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556"/>
      <c r="K26" s="401">
        <f>IF(J26=0,'Resid TSM UC'!K26+('Resid TSM UC'!J26-'Resid TSM UC'!M26+Inputs!$C$20),'Resid TSM UC'!K26)</f>
        <v>2867.8199999999997</v>
      </c>
      <c r="L26" s="401">
        <f>'Resid TSM UC'!L26</f>
        <v>373.18</v>
      </c>
      <c r="M26" s="41">
        <f>SUM(J26:L26)</f>
        <v>3240.9999999999995</v>
      </c>
      <c r="N26" s="556"/>
      <c r="O26" s="401">
        <f>IF(N26=0,'Resid TSM UC'!O26+('Resid TSM UC'!N26-'Resid TSM UC'!Q26+Inputs!$C$20),'Resid TSM UC'!O26)</f>
        <v>2867.8200000000033</v>
      </c>
      <c r="P26" s="401">
        <f>'Resid TSM UC'!P26</f>
        <v>373.18</v>
      </c>
      <c r="Q26" s="41">
        <f t="shared" si="3"/>
        <v>3241.0000000000032</v>
      </c>
      <c r="R26" s="113"/>
      <c r="S26" s="401">
        <f>IF(R26=0,'Resid TSM UC'!S26+('Resid TSM UC'!R26-'Resid TSM UC'!U26+Inputs!$C$20),'Resid TSM UC'!S26)</f>
        <v>2227.96</v>
      </c>
      <c r="T26" s="401">
        <f>'Resid TSM UC'!T26</f>
        <v>1013.04</v>
      </c>
      <c r="U26" s="41">
        <f t="shared" si="5"/>
        <v>3241</v>
      </c>
    </row>
    <row r="27" spans="1:21" ht="13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556"/>
      <c r="K27" s="401">
        <f>IF(J27=0,'Resid TSM UC'!K27+('Resid TSM UC'!J27-'Resid TSM UC'!M27+Inputs!$C$20),'Resid TSM UC'!K27)</f>
        <v>2867.8199999999997</v>
      </c>
      <c r="L27" s="401">
        <f>'Resid TSM UC'!L27</f>
        <v>373.18</v>
      </c>
      <c r="M27" s="41">
        <f>SUM(J27:L27)</f>
        <v>3240.9999999999995</v>
      </c>
      <c r="N27" s="556"/>
      <c r="O27" s="401">
        <f>IF(N27=0,'Resid TSM UC'!O27+('Resid TSM UC'!N27-'Resid TSM UC'!Q27+Inputs!$C$20),'Resid TSM UC'!O27)</f>
        <v>2867.8200000000106</v>
      </c>
      <c r="P27" s="401">
        <f>'Resid TSM UC'!P27</f>
        <v>373.18</v>
      </c>
      <c r="Q27" s="41">
        <f t="shared" si="3"/>
        <v>3241.0000000000105</v>
      </c>
      <c r="R27" s="113"/>
      <c r="S27" s="401">
        <f>IF(R27=0,'Resid TSM UC'!S27+('Resid TSM UC'!R27-'Resid TSM UC'!U27+Inputs!$C$20),'Resid TSM UC'!S27)</f>
        <v>2227.96</v>
      </c>
      <c r="T27" s="401">
        <f>'Resid TSM UC'!T27</f>
        <v>1013.04</v>
      </c>
      <c r="U27" s="41">
        <f t="shared" si="5"/>
        <v>3241</v>
      </c>
    </row>
    <row r="28" spans="1:21" ht="13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556"/>
      <c r="K28" s="401">
        <f>IF(J28=0,'Resid TSM UC'!K28+('Resid TSM UC'!J28-'Resid TSM UC'!M28+Inputs!$C$20),'Resid TSM UC'!K28)</f>
        <v>2867.8199999999997</v>
      </c>
      <c r="L28" s="401">
        <f>'Resid TSM UC'!L28</f>
        <v>373.18</v>
      </c>
      <c r="M28" s="41">
        <f>SUM(J28:L28)</f>
        <v>3240.9999999999995</v>
      </c>
      <c r="N28" s="556"/>
      <c r="O28" s="401">
        <f>IF(N28=0,'Resid TSM UC'!O28+('Resid TSM UC'!N28-'Resid TSM UC'!Q28+Inputs!$C$20),'Resid TSM UC'!O28)</f>
        <v>2867.820000000007</v>
      </c>
      <c r="P28" s="401">
        <f>'Resid TSM UC'!P28</f>
        <v>373.18</v>
      </c>
      <c r="Q28" s="41">
        <f t="shared" si="3"/>
        <v>3241.0000000000068</v>
      </c>
      <c r="R28" s="113"/>
      <c r="S28" s="401">
        <f>IF(R28=0,'Resid TSM UC'!S28+('Resid TSM UC'!R28-'Resid TSM UC'!U28+Inputs!$C$20),'Resid TSM UC'!S28)</f>
        <v>2227.96</v>
      </c>
      <c r="T28" s="401">
        <f>'Resid TSM UC'!T28</f>
        <v>1013.04</v>
      </c>
      <c r="U28" s="41">
        <f t="shared" si="5"/>
        <v>3241</v>
      </c>
    </row>
    <row r="29" spans="1:21" ht="13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556"/>
      <c r="O29" s="401">
        <f>IF(N29=0,'Resid TSM UC'!O29+('Resid TSM UC'!N29-'Resid TSM UC'!Q29+Inputs!$C$20),'Resid TSM UC'!O29)</f>
        <v>2867.820000000007</v>
      </c>
      <c r="P29" s="401">
        <f>'Resid TSM UC'!P29</f>
        <v>373.18</v>
      </c>
      <c r="Q29" s="41">
        <f t="shared" si="3"/>
        <v>3241.0000000000068</v>
      </c>
      <c r="R29" s="113"/>
      <c r="S29" s="401">
        <f>IF(R29=0,'Resid TSM UC'!S29+('Resid TSM UC'!R29-'Resid TSM UC'!U29+Inputs!$C$20),'Resid TSM UC'!S29)</f>
        <v>2227.96</v>
      </c>
      <c r="T29" s="401">
        <f>'Resid TSM UC'!T29</f>
        <v>1013.04</v>
      </c>
      <c r="U29" s="41">
        <f t="shared" si="5"/>
        <v>3241</v>
      </c>
    </row>
    <row r="30" spans="1:21" ht="13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23"/>
      <c r="L30" s="23"/>
      <c r="M30" s="41"/>
      <c r="N30" s="113"/>
      <c r="O30" s="98"/>
      <c r="P30" s="98"/>
      <c r="Q30" s="41"/>
      <c r="R30" s="113"/>
      <c r="S30" s="98"/>
      <c r="T30" s="98"/>
      <c r="U30" s="41"/>
    </row>
    <row r="31" spans="1:21" ht="13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 ht="13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 ht="13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 ht="13">
      <c r="A34" s="124" t="s">
        <v>106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 ht="13">
      <c r="A35" s="124" t="s">
        <v>107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 ht="13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 ht="13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</row>
    <row r="39" spans="1:21" ht="13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414"/>
    </row>
    <row r="40" spans="1:21" ht="13">
      <c r="A40" s="29" t="s">
        <v>271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 ht="13">
      <c r="A41" s="29"/>
      <c r="B41" s="433" t="s">
        <v>387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" thickBot="1">
      <c r="A42" s="15"/>
      <c r="B42" s="432" t="s">
        <v>270</v>
      </c>
      <c r="C42" s="422"/>
      <c r="D42" s="422"/>
      <c r="E42" s="422"/>
      <c r="F42" s="424"/>
      <c r="G42" s="424"/>
      <c r="H42" s="424"/>
      <c r="I42" s="424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5"/>
    </row>
    <row r="43" spans="1:21">
      <c r="B43" s="393"/>
      <c r="C43" s="393"/>
      <c r="D43" s="393"/>
      <c r="E43" s="393"/>
      <c r="F43" s="331"/>
      <c r="G43" s="331"/>
      <c r="H43" s="331"/>
      <c r="I43" s="331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</row>
    <row r="44" spans="1:21">
      <c r="B44" s="393"/>
      <c r="C44" s="393"/>
      <c r="D44" s="393"/>
      <c r="E44" s="393"/>
      <c r="F44" s="331"/>
      <c r="G44" s="331"/>
      <c r="H44" s="331"/>
      <c r="I44" s="331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</row>
    <row r="45" spans="1:21">
      <c r="B45" s="393"/>
      <c r="C45" s="393"/>
      <c r="D45" s="393"/>
      <c r="E45" s="393"/>
      <c r="F45" s="331"/>
      <c r="G45" s="331"/>
      <c r="H45" s="331"/>
      <c r="I45" s="331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</row>
    <row r="46" spans="1:21">
      <c r="B46" s="393"/>
      <c r="C46" s="393"/>
      <c r="D46" s="393"/>
      <c r="E46" s="393"/>
      <c r="F46" s="331"/>
      <c r="G46" s="331"/>
      <c r="H46" s="331"/>
      <c r="I46" s="331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</row>
    <row r="47" spans="1:21">
      <c r="B47" s="393"/>
      <c r="C47" s="393"/>
      <c r="D47" s="393"/>
      <c r="E47" s="393"/>
      <c r="F47" s="331"/>
      <c r="G47" s="331"/>
      <c r="H47" s="331"/>
      <c r="I47" s="331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</row>
    <row r="48" spans="1:21">
      <c r="B48" s="393"/>
      <c r="C48" s="393"/>
      <c r="D48" s="393"/>
      <c r="E48" s="393"/>
      <c r="F48" s="331"/>
      <c r="G48" s="331"/>
      <c r="H48" s="331"/>
      <c r="I48" s="331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</row>
    <row r="49" spans="2:21">
      <c r="B49" s="393"/>
      <c r="C49" s="393"/>
      <c r="D49" s="393"/>
      <c r="E49" s="393"/>
      <c r="F49" s="331"/>
      <c r="G49" s="331"/>
      <c r="H49" s="331"/>
      <c r="I49" s="331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</row>
    <row r="50" spans="2:21">
      <c r="B50" s="393"/>
      <c r="C50" s="393"/>
      <c r="D50" s="393"/>
      <c r="E50" s="393"/>
      <c r="F50" s="331"/>
      <c r="G50" s="331"/>
      <c r="H50" s="331"/>
      <c r="I50" s="331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</row>
    <row r="51" spans="2:21">
      <c r="F51" s="331"/>
      <c r="G51" s="331"/>
      <c r="H51" s="331"/>
      <c r="I51" s="331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</row>
    <row r="52" spans="2:21">
      <c r="F52" s="331"/>
      <c r="G52" s="331"/>
      <c r="H52" s="331"/>
      <c r="I52" s="331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</row>
    <row r="53" spans="2:21"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</row>
    <row r="54" spans="2:21"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</row>
    <row r="55" spans="2:21"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</row>
    <row r="56" spans="2:21"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</row>
    <row r="57" spans="2:21"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</row>
    <row r="58" spans="2:21"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</row>
    <row r="59" spans="2:21"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</row>
    <row r="60" spans="2:21"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</row>
    <row r="61" spans="2:21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</row>
    <row r="62" spans="2:21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</row>
    <row r="63" spans="2:21"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</row>
    <row r="64" spans="2:21">
      <c r="N64" s="393"/>
      <c r="O64" s="393"/>
      <c r="P64" s="393"/>
      <c r="Q64" s="393"/>
      <c r="R64" s="393"/>
      <c r="S64" s="393"/>
      <c r="T64" s="393"/>
      <c r="U64" s="393"/>
    </row>
    <row r="65" spans="17:17">
      <c r="Q65" s="392"/>
    </row>
    <row r="66" spans="17:17">
      <c r="Q66" s="392"/>
    </row>
    <row r="67" spans="17:17">
      <c r="Q67" s="39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4" ma:contentTypeDescription="Create a new document." ma:contentTypeScope="" ma:versionID="737ec10dc4eac5fc3b4adce81d1e61aa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b92c95fef94f627e1dcf25923dcf2342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0D4194-42FA-4D65-8D39-FE86670F4723}"/>
</file>

<file path=customXml/itemProps2.xml><?xml version="1.0" encoding="utf-8"?>
<ds:datastoreItem xmlns:ds="http://schemas.openxmlformats.org/officeDocument/2006/customXml" ds:itemID="{F8AC85BE-638E-4603-8014-9AC8B1E600D8}"/>
</file>

<file path=customXml/itemProps3.xml><?xml version="1.0" encoding="utf-8"?>
<ds:datastoreItem xmlns:ds="http://schemas.openxmlformats.org/officeDocument/2006/customXml" ds:itemID="{F8810610-3B8B-4936-A629-5274298007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52</vt:i4>
      </vt:variant>
      <vt:variant>
        <vt:lpstr>Named Ranges</vt:lpstr>
      </vt:variant>
      <vt:variant>
        <vt:i4>66</vt:i4>
      </vt:variant>
    </vt:vector>
  </HeadingPairs>
  <TitlesOfParts>
    <vt:vector size="118" baseType="lpstr">
      <vt:lpstr>Tab Descriptions</vt:lpstr>
      <vt:lpstr>Marg Cust Cost Summary</vt:lpstr>
      <vt:lpstr>Marg Cust Cost by Rate Schedule</vt:lpstr>
      <vt:lpstr>Inputs</vt:lpstr>
      <vt:lpstr>School Class TSM Summary </vt:lpstr>
      <vt:lpstr>School Class Cust Cost Summary</vt:lpstr>
      <vt:lpstr>Resid Cust Fcst </vt:lpstr>
      <vt:lpstr>Resid TSM UC</vt:lpstr>
      <vt:lpstr>Resid TSM UC Adj</vt:lpstr>
      <vt:lpstr>Resid TSM Summary</vt:lpstr>
      <vt:lpstr>Resid TSM Sum by Rate Schedule</vt:lpstr>
      <vt:lpstr>Resid Cust Cost Summary</vt:lpstr>
      <vt:lpstr>Sch DR TSM</vt:lpstr>
      <vt:lpstr>Sm Comm Cust Fcst</vt:lpstr>
      <vt:lpstr>Sm Comm TSM Summary</vt:lpstr>
      <vt:lpstr>Sm Comm Cust Cost Summary</vt:lpstr>
      <vt:lpstr>Sch TOU-A TSM</vt:lpstr>
      <vt:lpstr>Sch TOU-A TSM Summary</vt:lpstr>
      <vt:lpstr>Sch TOU-A Cust Cost Summary</vt:lpstr>
      <vt:lpstr>Sch TOU-M TSM</vt:lpstr>
      <vt:lpstr>Sch TOU-M TSM Summary</vt:lpstr>
      <vt:lpstr>Sch TOU-M Cust Cost Summary</vt:lpstr>
      <vt:lpstr>M-L C&amp;I TSM Summary</vt:lpstr>
      <vt:lpstr>M-L C&amp;I Cust Cost Summary </vt:lpstr>
      <vt:lpstr>Sch OL-TOU Cust Fcst</vt:lpstr>
      <vt:lpstr>Sch OL-TOU TSM</vt:lpstr>
      <vt:lpstr>Sch OL-TOU TSM Summary</vt:lpstr>
      <vt:lpstr>Sch OL-TOU Cust Cost Summary</vt:lpstr>
      <vt:lpstr>Sch AL-TOU Cust Fcst</vt:lpstr>
      <vt:lpstr>Sch AL-TOU TSM</vt:lpstr>
      <vt:lpstr>Sch AL-TOU TSM Summary</vt:lpstr>
      <vt:lpstr>Sch AL-TOU Cust Cost Summary</vt:lpstr>
      <vt:lpstr>Sch DG-R Cust Fcst</vt:lpstr>
      <vt:lpstr>Sch DG-R TSM</vt:lpstr>
      <vt:lpstr>Sch DG-R TSM Summary</vt:lpstr>
      <vt:lpstr>Sch DG-R Cust Cost Summary</vt:lpstr>
      <vt:lpstr>Sch A6-TOU Cust Fcst </vt:lpstr>
      <vt:lpstr>Sch A6-TOU TSM</vt:lpstr>
      <vt:lpstr>Sch A6-TOU TSM Summary</vt:lpstr>
      <vt:lpstr>Sch A6-TOU Cust Cost Summary</vt:lpstr>
      <vt:lpstr>Agric TSM Summary</vt:lpstr>
      <vt:lpstr>Agric Cust Cost Summary</vt:lpstr>
      <vt:lpstr>Sch TOU-PA Cust Fcst</vt:lpstr>
      <vt:lpstr>Sch TOU-PA TSM</vt:lpstr>
      <vt:lpstr>Sch TOU-PA TSM Summary</vt:lpstr>
      <vt:lpstr>Sch TOU-PA Cust Cost Summary</vt:lpstr>
      <vt:lpstr>Street Light Cust Cost Summary</vt:lpstr>
      <vt:lpstr>Non-Residential TSM UC</vt:lpstr>
      <vt:lpstr>Non-Residential TSM UC Adj</vt:lpstr>
      <vt:lpstr>Total Customers</vt:lpstr>
      <vt:lpstr>TSM Cap Cost Allocations</vt:lpstr>
      <vt:lpstr>Distribution O&amp;M Allocations</vt:lpstr>
      <vt:lpstr>'Agric Cust Cost Summary'!Print_Area</vt:lpstr>
      <vt:lpstr>'Agric TSM Summary'!Print_Area</vt:lpstr>
      <vt:lpstr>'Distribution O&amp;M Allocations'!Print_Area</vt:lpstr>
      <vt:lpstr>'Marg Cust Cost by Rate Schedule'!Print_Area</vt:lpstr>
      <vt:lpstr>'Marg Cust Cost Summary'!Print_Area</vt:lpstr>
      <vt:lpstr>'M-L C&amp;I Cust Cost Summary '!Print_Area</vt:lpstr>
      <vt:lpstr>'M-L C&amp;I TSM Summary'!Print_Area</vt:lpstr>
      <vt:lpstr>'Non-Residential TSM UC'!Print_Area</vt:lpstr>
      <vt:lpstr>'Non-Residential TSM UC Adj'!Print_Area</vt:lpstr>
      <vt:lpstr>'Resid Cust Cost Summary'!Print_Area</vt:lpstr>
      <vt:lpstr>'Resid Cust Fcst '!Print_Area</vt:lpstr>
      <vt:lpstr>'Resid TSM Sum by Rate Schedule'!Print_Area</vt:lpstr>
      <vt:lpstr>'Resid TSM Summary'!Print_Area</vt:lpstr>
      <vt:lpstr>'Resid TSM UC'!Print_Area</vt:lpstr>
      <vt:lpstr>'Resid TSM UC Adj'!Print_Area</vt:lpstr>
      <vt:lpstr>'Sch A6-TOU Cust Cost Summary'!Print_Area</vt:lpstr>
      <vt:lpstr>'Sch A6-TOU Cust Fcst '!Print_Area</vt:lpstr>
      <vt:lpstr>'Sch A6-TOU TSM'!Print_Area</vt:lpstr>
      <vt:lpstr>'Sch A6-TOU TSM Summary'!Print_Area</vt:lpstr>
      <vt:lpstr>'Sch AL-TOU Cust Cost Summary'!Print_Area</vt:lpstr>
      <vt:lpstr>'Sch AL-TOU Cust Fcst'!Print_Area</vt:lpstr>
      <vt:lpstr>'Sch AL-TOU TSM'!Print_Area</vt:lpstr>
      <vt:lpstr>'Sch AL-TOU TSM Summary'!Print_Area</vt:lpstr>
      <vt:lpstr>'Sch DG-R Cust Cost Summary'!Print_Area</vt:lpstr>
      <vt:lpstr>'Sch DG-R Cust Fcst'!Print_Area</vt:lpstr>
      <vt:lpstr>'Sch DG-R TSM'!Print_Area</vt:lpstr>
      <vt:lpstr>'Sch DG-R TSM Summary'!Print_Area</vt:lpstr>
      <vt:lpstr>'Sch DR TSM'!Print_Area</vt:lpstr>
      <vt:lpstr>'Sch OL-TOU Cust Cost Summary'!Print_Area</vt:lpstr>
      <vt:lpstr>'Sch OL-TOU Cust Fcst'!Print_Area</vt:lpstr>
      <vt:lpstr>'Sch OL-TOU TSM'!Print_Area</vt:lpstr>
      <vt:lpstr>'Sch OL-TOU TSM Summary'!Print_Area</vt:lpstr>
      <vt:lpstr>'Sch TOU-A Cust Cost Summary'!Print_Area</vt:lpstr>
      <vt:lpstr>'Sch TOU-A TSM'!Print_Area</vt:lpstr>
      <vt:lpstr>'Sch TOU-A TSM Summary'!Print_Area</vt:lpstr>
      <vt:lpstr>'Sch TOU-M Cust Cost Summary'!Print_Area</vt:lpstr>
      <vt:lpstr>'Sch TOU-M TSM'!Print_Area</vt:lpstr>
      <vt:lpstr>'Sch TOU-M TSM Summary'!Print_Area</vt:lpstr>
      <vt:lpstr>'Sch TOU-PA Cust Cost Summary'!Print_Area</vt:lpstr>
      <vt:lpstr>'Sch TOU-PA Cust Fcst'!Print_Area</vt:lpstr>
      <vt:lpstr>'Sch TOU-PA TSM'!Print_Area</vt:lpstr>
      <vt:lpstr>'Sch TOU-PA TSM Summary'!Print_Area</vt:lpstr>
      <vt:lpstr>'School Class Cust Cost Summary'!Print_Area</vt:lpstr>
      <vt:lpstr>'School Class TSM Summary '!Print_Area</vt:lpstr>
      <vt:lpstr>'Sm Comm Cust Cost Summary'!Print_Area</vt:lpstr>
      <vt:lpstr>'Sm Comm Cust Fcst'!Print_Area</vt:lpstr>
      <vt:lpstr>'Sm Comm TSM Summary'!Print_Area</vt:lpstr>
      <vt:lpstr>'Street Light Cust Cost Summary'!Print_Area</vt:lpstr>
      <vt:lpstr>'Tab Descriptions'!Print_Area</vt:lpstr>
      <vt:lpstr>'Total Customers'!Print_Area</vt:lpstr>
      <vt:lpstr>'TSM Cap Cost Allocations'!Print_Area</vt:lpstr>
      <vt:lpstr>'Distribution O&amp;M Allocations'!Print_Titles</vt:lpstr>
      <vt:lpstr>'M-L C&amp;I Cust Cost Summary '!Print_Titles</vt:lpstr>
      <vt:lpstr>'M-L C&amp;I TSM Summary'!Print_Titles</vt:lpstr>
      <vt:lpstr>'Non-Residential TSM UC'!Print_Titles</vt:lpstr>
      <vt:lpstr>'Non-Residential TSM UC Adj'!Print_Titles</vt:lpstr>
      <vt:lpstr>'Resid Cust Fcst '!Print_Titles</vt:lpstr>
      <vt:lpstr>'Resid TSM UC'!Print_Titles</vt:lpstr>
      <vt:lpstr>'Resid TSM UC Adj'!Print_Titles</vt:lpstr>
      <vt:lpstr>'Sch AL-TOU Cust Cost Summary'!Print_Titles</vt:lpstr>
      <vt:lpstr>'Sch AL-TOU TSM'!Print_Titles</vt:lpstr>
      <vt:lpstr>'Sch DG-R TSM'!Print_Titles</vt:lpstr>
      <vt:lpstr>'Sch DR TSM'!Print_Titles</vt:lpstr>
      <vt:lpstr>'Sch TOU-A TSM'!Print_Titles</vt:lpstr>
      <vt:lpstr>'Sm Comm Cust Fcst'!Print_Titles</vt:lpstr>
      <vt:lpstr>'Total Customers'!Print_Titles</vt:lpstr>
    </vt:vector>
  </TitlesOfParts>
  <Manager>Bob Hansen</Manager>
  <Company>SDG&amp;E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Electric Custmer LRMC Model</dc:title>
  <dc:subject>TY 08 GRC Phase 2</dc:subject>
  <dc:creator>Jim Parsons</dc:creator>
  <cp:lastModifiedBy>Saxe, William</cp:lastModifiedBy>
  <cp:lastPrinted>2015-12-10T22:22:54Z</cp:lastPrinted>
  <dcterms:created xsi:type="dcterms:W3CDTF">2003-01-17T18:48:38Z</dcterms:created>
  <dcterms:modified xsi:type="dcterms:W3CDTF">2020-04-19T15:09:26Z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